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WORK\Gen5_expansion\DATASHEET\"/>
    </mc:Choice>
  </mc:AlternateContent>
  <bookViews>
    <workbookView xWindow="465" yWindow="2190" windowWidth="9075" windowHeight="3885" tabRatio="599" activeTab="1"/>
  </bookViews>
  <sheets>
    <sheet name="Single Output" sheetId="27" r:id="rId1"/>
    <sheet name="Dual Output" sheetId="21" r:id="rId2"/>
    <sheet name="Design example (dual non-iso)" sheetId="26" r:id="rId3"/>
    <sheet name="Design example (dual iso)" sheetId="28" r:id="rId4"/>
    <sheet name="msc" sheetId="16" r:id="rId5"/>
    <sheet name="Protection Mode" sheetId="18" r:id="rId6"/>
  </sheets>
  <definedNames>
    <definedName name="OLE_LINK1" localSheetId="5">'Protection Mode'!$C$2</definedName>
    <definedName name="_xlnm.Print_Area" localSheetId="1">'Dual Output'!$B$1:$H$422</definedName>
    <definedName name="_xlnm.Print_Area" localSheetId="0">'Single Output'!$B$1:$H$356</definedName>
  </definedNames>
  <calcPr calcId="162913"/>
</workbook>
</file>

<file path=xl/calcChain.xml><?xml version="1.0" encoding="utf-8"?>
<calcChain xmlns="http://schemas.openxmlformats.org/spreadsheetml/2006/main">
  <c r="H290" i="21" l="1"/>
  <c r="H288" i="21"/>
  <c r="H241" i="27"/>
  <c r="H239" i="27"/>
  <c r="D42" i="28" l="1"/>
  <c r="G39" i="28"/>
  <c r="D39" i="28"/>
  <c r="G38" i="28"/>
  <c r="D38" i="28"/>
  <c r="D26" i="28"/>
  <c r="D25" i="28"/>
  <c r="D23" i="28"/>
  <c r="D22" i="28"/>
  <c r="D15" i="28"/>
  <c r="D14" i="28"/>
  <c r="D13" i="28"/>
  <c r="H299" i="27" l="1"/>
  <c r="H252" i="27"/>
  <c r="I112" i="27"/>
  <c r="H360" i="27" l="1"/>
  <c r="H359" i="27"/>
  <c r="H356" i="27"/>
  <c r="H355" i="27"/>
  <c r="H354" i="27"/>
  <c r="H353" i="27"/>
  <c r="H352" i="27"/>
  <c r="H351" i="27"/>
  <c r="H350" i="27"/>
  <c r="H347" i="27"/>
  <c r="H346" i="27"/>
  <c r="H344" i="27"/>
  <c r="H343" i="27"/>
  <c r="H342" i="27"/>
  <c r="H341" i="27"/>
  <c r="H340" i="27"/>
  <c r="H339" i="27"/>
  <c r="H335" i="27"/>
  <c r="H333" i="27"/>
  <c r="H332" i="27"/>
  <c r="H331" i="27"/>
  <c r="H329" i="27"/>
  <c r="H328" i="27"/>
  <c r="H327" i="27"/>
  <c r="H326" i="27"/>
  <c r="H310" i="27"/>
  <c r="H309" i="27"/>
  <c r="H305" i="27"/>
  <c r="H304" i="27"/>
  <c r="H287" i="27"/>
  <c r="H274" i="27"/>
  <c r="H276" i="27" s="1"/>
  <c r="H273" i="27"/>
  <c r="H275" i="27" s="1"/>
  <c r="H271" i="27"/>
  <c r="H272" i="27" s="1"/>
  <c r="H269" i="27"/>
  <c r="H270" i="27" s="1"/>
  <c r="H265" i="27"/>
  <c r="H260" i="27"/>
  <c r="H250" i="27"/>
  <c r="H185" i="27"/>
  <c r="H181" i="27"/>
  <c r="H171" i="27"/>
  <c r="H169" i="27"/>
  <c r="H166" i="27"/>
  <c r="H162" i="27"/>
  <c r="H131" i="27"/>
  <c r="H132" i="27" s="1"/>
  <c r="H120" i="27"/>
  <c r="H119" i="27"/>
  <c r="H99" i="27"/>
  <c r="H314" i="27" s="1"/>
  <c r="H98" i="27"/>
  <c r="H95" i="27"/>
  <c r="H91" i="27"/>
  <c r="H86" i="27"/>
  <c r="H85" i="27"/>
  <c r="H84" i="27"/>
  <c r="H108" i="27" s="1"/>
  <c r="H83" i="27"/>
  <c r="H323" i="27" s="1"/>
  <c r="H82" i="27"/>
  <c r="H81" i="27"/>
  <c r="H322" i="27" s="1"/>
  <c r="H80" i="27"/>
  <c r="H321" i="27" s="1"/>
  <c r="H54" i="27"/>
  <c r="H56" i="27" s="1"/>
  <c r="H51" i="27"/>
  <c r="H308" i="27" s="1"/>
  <c r="H42" i="27"/>
  <c r="H38" i="27"/>
  <c r="H28" i="27"/>
  <c r="H36" i="27" s="1"/>
  <c r="H93" i="27" l="1"/>
  <c r="I37" i="27"/>
  <c r="H193" i="27"/>
  <c r="H176" i="27"/>
  <c r="H157" i="27"/>
  <c r="H145" i="27"/>
  <c r="H215" i="27"/>
  <c r="H123" i="27"/>
  <c r="H124" i="27" s="1"/>
  <c r="H330" i="27" s="1"/>
  <c r="H137" i="27"/>
  <c r="H138" i="27" s="1"/>
  <c r="H334" i="27" s="1"/>
  <c r="H109" i="27"/>
  <c r="H306" i="27"/>
  <c r="H57" i="27"/>
  <c r="H50" i="27"/>
  <c r="H190" i="27" s="1"/>
  <c r="H55" i="27"/>
  <c r="H194" i="27"/>
  <c r="H222" i="27"/>
  <c r="H277" i="27"/>
  <c r="H289" i="27" s="1"/>
  <c r="I355" i="21"/>
  <c r="H60" i="27" l="1"/>
  <c r="H58" i="27"/>
  <c r="H127" i="27"/>
  <c r="H115" i="27"/>
  <c r="H231" i="21"/>
  <c r="H227" i="21"/>
  <c r="H128" i="27" l="1"/>
  <c r="I132" i="27"/>
  <c r="H116" i="27"/>
  <c r="I120" i="27"/>
  <c r="H69" i="27"/>
  <c r="H212" i="27"/>
  <c r="H307" i="27"/>
  <c r="H100" i="27"/>
  <c r="H313" i="27" s="1"/>
  <c r="H215" i="21"/>
  <c r="H197" i="21"/>
  <c r="H72" i="27" l="1"/>
  <c r="H71" i="27"/>
  <c r="G38" i="26"/>
  <c r="G37" i="26"/>
  <c r="D41" i="26"/>
  <c r="D38" i="26"/>
  <c r="D37" i="26"/>
  <c r="D26" i="26"/>
  <c r="D25" i="26"/>
  <c r="D22" i="26"/>
  <c r="D21" i="26"/>
  <c r="D15" i="26"/>
  <c r="D14" i="26"/>
  <c r="D13" i="26"/>
  <c r="H144" i="27" l="1"/>
  <c r="H325" i="27"/>
  <c r="H103" i="27"/>
  <c r="H73" i="27"/>
  <c r="H74" i="27" s="1"/>
  <c r="H133" i="27" s="1"/>
  <c r="I126" i="21"/>
  <c r="H312" i="27" l="1"/>
  <c r="H153" i="27"/>
  <c r="H75" i="27"/>
  <c r="H167" i="27"/>
  <c r="H172" i="27" s="1"/>
  <c r="H311" i="27" s="1"/>
  <c r="H216" i="27"/>
  <c r="H217" i="27" s="1"/>
  <c r="H89" i="27"/>
  <c r="H101" i="27"/>
  <c r="H102" i="27"/>
  <c r="H76" i="27"/>
  <c r="H134" i="27" s="1"/>
  <c r="H203" i="27"/>
  <c r="H336" i="27"/>
  <c r="H146" i="27"/>
  <c r="H148" i="27"/>
  <c r="H427" i="21"/>
  <c r="D50" i="26" s="1"/>
  <c r="H426" i="21"/>
  <c r="D54" i="26" s="1"/>
  <c r="H425" i="21"/>
  <c r="D47" i="26" s="1"/>
  <c r="H417" i="21"/>
  <c r="D50" i="28" s="1"/>
  <c r="H416" i="21"/>
  <c r="D49" i="28" s="1"/>
  <c r="H408" i="21"/>
  <c r="H407" i="21"/>
  <c r="H406" i="21"/>
  <c r="H405" i="21"/>
  <c r="H404" i="21"/>
  <c r="H403" i="21"/>
  <c r="H402" i="21"/>
  <c r="H401" i="21"/>
  <c r="H396" i="21"/>
  <c r="H394" i="21"/>
  <c r="H393" i="21"/>
  <c r="H390" i="21"/>
  <c r="H389" i="21"/>
  <c r="H386" i="21"/>
  <c r="H385" i="21"/>
  <c r="H213" i="27" l="1"/>
  <c r="H214" i="27" s="1"/>
  <c r="H195" i="27"/>
  <c r="H121" i="27"/>
  <c r="I121" i="27" s="1"/>
  <c r="H206" i="27"/>
  <c r="H280" i="27"/>
  <c r="H281" i="27" s="1"/>
  <c r="H282" i="27" s="1"/>
  <c r="H345" i="27"/>
  <c r="I102" i="27"/>
  <c r="H324" i="27"/>
  <c r="H367" i="21"/>
  <c r="H354" i="21"/>
  <c r="H352" i="21"/>
  <c r="H323" i="21"/>
  <c r="H321" i="21"/>
  <c r="H339" i="21"/>
  <c r="H284" i="27" l="1"/>
  <c r="H285" i="27" s="1"/>
  <c r="H283" i="27"/>
  <c r="H316" i="27"/>
  <c r="H218" i="27"/>
  <c r="H231" i="27" s="1"/>
  <c r="H232" i="27" s="1"/>
  <c r="I232" i="27" s="1"/>
  <c r="H158" i="27"/>
  <c r="H135" i="27"/>
  <c r="I135" i="27" s="1"/>
  <c r="H325" i="21"/>
  <c r="H327" i="21" s="1"/>
  <c r="H317" i="21"/>
  <c r="H312" i="21"/>
  <c r="H304" i="21"/>
  <c r="H302" i="21"/>
  <c r="H196" i="27" l="1"/>
  <c r="H161" i="27"/>
  <c r="H200" i="27"/>
  <c r="H212" i="21"/>
  <c r="H208" i="21"/>
  <c r="H217" i="21"/>
  <c r="H199" i="21"/>
  <c r="H194" i="21"/>
  <c r="H159" i="21"/>
  <c r="H197" i="27" l="1"/>
  <c r="H225" i="27" s="1"/>
  <c r="H160" i="21"/>
  <c r="H111" i="21"/>
  <c r="H110" i="21"/>
  <c r="H315" i="27" l="1"/>
  <c r="H29" i="21"/>
  <c r="H37" i="21"/>
  <c r="H226" i="27" l="1"/>
  <c r="H318" i="27" s="1"/>
  <c r="H317" i="27"/>
  <c r="H48" i="21"/>
  <c r="H60" i="21" l="1"/>
  <c r="H145" i="21"/>
  <c r="H146" i="21" s="1"/>
  <c r="G10" i="28" l="1"/>
  <c r="G8" i="28"/>
  <c r="G37" i="28"/>
  <c r="H134" i="21"/>
  <c r="H133" i="21"/>
  <c r="H107" i="21"/>
  <c r="H271" i="21" l="1"/>
  <c r="H103" i="21"/>
  <c r="H61" i="21" l="1"/>
  <c r="F13" i="28" s="1"/>
  <c r="H46" i="21"/>
  <c r="I47" i="21" s="1"/>
  <c r="F13" i="26" l="1"/>
  <c r="H222" i="21"/>
  <c r="F31" i="28" s="1"/>
  <c r="H203" i="21"/>
  <c r="H185" i="21"/>
  <c r="H38" i="21"/>
  <c r="H30" i="21"/>
  <c r="F34" i="26" l="1"/>
  <c r="F33" i="28"/>
  <c r="F33" i="26"/>
  <c r="F32" i="28"/>
  <c r="H415" i="21"/>
  <c r="D51" i="28" s="1"/>
  <c r="H52" i="21" l="1"/>
  <c r="H324" i="21"/>
  <c r="H322" i="21"/>
  <c r="H300" i="21"/>
  <c r="H421" i="21"/>
  <c r="D20" i="28" s="1"/>
  <c r="H422" i="21"/>
  <c r="D19" i="28" s="1"/>
  <c r="H420" i="21"/>
  <c r="D48" i="28" s="1"/>
  <c r="H419" i="21"/>
  <c r="D47" i="28" s="1"/>
  <c r="H418" i="21"/>
  <c r="D46" i="28" s="1"/>
  <c r="H412" i="21"/>
  <c r="H411" i="21"/>
  <c r="H409" i="21"/>
  <c r="H400" i="21"/>
  <c r="H392" i="21"/>
  <c r="H388" i="21"/>
  <c r="H384" i="21"/>
  <c r="H383" i="21"/>
  <c r="H365" i="21"/>
  <c r="H364" i="21"/>
  <c r="H360" i="21"/>
  <c r="H359" i="21"/>
  <c r="H326" i="21"/>
  <c r="H328" i="21" s="1"/>
  <c r="H329" i="21" s="1"/>
  <c r="H190" i="21"/>
  <c r="H112" i="21"/>
  <c r="H264" i="21" s="1"/>
  <c r="H101" i="21"/>
  <c r="H96" i="21"/>
  <c r="H95" i="21"/>
  <c r="H94" i="21"/>
  <c r="H93" i="21"/>
  <c r="H380" i="21" s="1"/>
  <c r="H92" i="21"/>
  <c r="H91" i="21"/>
  <c r="H379" i="21" s="1"/>
  <c r="H90" i="21"/>
  <c r="H378" i="21" s="1"/>
  <c r="H64" i="21"/>
  <c r="H240" i="21" l="1"/>
  <c r="H239" i="21"/>
  <c r="H341" i="21"/>
  <c r="H241" i="21"/>
  <c r="H105" i="21"/>
  <c r="H65" i="21"/>
  <c r="H66" i="21"/>
  <c r="H67" i="21" s="1"/>
  <c r="H68" i="21" s="1"/>
  <c r="H363" i="21"/>
  <c r="G36" i="26"/>
  <c r="H121" i="21"/>
  <c r="H361" i="21"/>
  <c r="H371" i="21"/>
  <c r="H173" i="21"/>
  <c r="H165" i="21" l="1"/>
  <c r="H166" i="21" s="1"/>
  <c r="H395" i="21" s="1"/>
  <c r="G8" i="26"/>
  <c r="G10" i="26"/>
  <c r="H236" i="21"/>
  <c r="H137" i="21"/>
  <c r="H138" i="21" s="1"/>
  <c r="H151" i="21"/>
  <c r="H152" i="21" s="1"/>
  <c r="H391" i="21" s="1"/>
  <c r="H122" i="21"/>
  <c r="H70" i="21"/>
  <c r="H261" i="21" s="1"/>
  <c r="H10" i="26" l="1"/>
  <c r="H10" i="28"/>
  <c r="H155" i="21"/>
  <c r="I160" i="21" s="1"/>
  <c r="H113" i="21"/>
  <c r="H387" i="21"/>
  <c r="H129" i="21"/>
  <c r="I134" i="21" s="1"/>
  <c r="H141" i="21"/>
  <c r="I146" i="21" s="1"/>
  <c r="H79" i="21"/>
  <c r="H81" i="21" s="1"/>
  <c r="H116" i="21" s="1"/>
  <c r="H362" i="21"/>
  <c r="H130" i="21" l="1"/>
  <c r="H156" i="21"/>
  <c r="H142" i="21"/>
  <c r="H82" i="21"/>
  <c r="H172" i="21"/>
  <c r="H83" i="21"/>
  <c r="H382" i="21"/>
  <c r="D56" i="26" l="1"/>
  <c r="D56" i="28"/>
  <c r="H397" i="21"/>
  <c r="H86" i="21"/>
  <c r="H148" i="21" s="1"/>
  <c r="H186" i="21" s="1"/>
  <c r="H84" i="21"/>
  <c r="H147" i="21" s="1"/>
  <c r="H243" i="21" l="1"/>
  <c r="G33" i="28"/>
  <c r="H265" i="21"/>
  <c r="H266" i="21" s="1"/>
  <c r="H161" i="21"/>
  <c r="H213" i="21" s="1"/>
  <c r="H262" i="21"/>
  <c r="H263" i="21" s="1"/>
  <c r="H252" i="21"/>
  <c r="F32" i="26"/>
  <c r="H162" i="21"/>
  <c r="H204" i="21" s="1"/>
  <c r="G32" i="28" s="1"/>
  <c r="H242" i="21"/>
  <c r="H135" i="21"/>
  <c r="I135" i="21" s="1"/>
  <c r="H174" i="21"/>
  <c r="H176" i="21"/>
  <c r="H99" i="21"/>
  <c r="H115" i="21"/>
  <c r="I115" i="21" s="1"/>
  <c r="H369" i="21"/>
  <c r="H181" i="21"/>
  <c r="H332" i="21" s="1"/>
  <c r="H85" i="21"/>
  <c r="H114" i="21" s="1"/>
  <c r="H41" i="26" l="1"/>
  <c r="H42" i="28"/>
  <c r="H267" i="21"/>
  <c r="H280" i="21" s="1"/>
  <c r="H281" i="21" s="1"/>
  <c r="I281" i="21" s="1"/>
  <c r="H218" i="21"/>
  <c r="H368" i="21" s="1"/>
  <c r="H195" i="21"/>
  <c r="H200" i="21" s="1"/>
  <c r="H366" i="21" s="1"/>
  <c r="H249" i="21"/>
  <c r="G33" i="26"/>
  <c r="H149" i="21"/>
  <c r="I149" i="21" s="1"/>
  <c r="H333" i="21"/>
  <c r="H334" i="21" s="1"/>
  <c r="H255" i="21"/>
  <c r="H373" i="21"/>
  <c r="H207" i="21"/>
  <c r="H244" i="21"/>
  <c r="H163" i="21"/>
  <c r="I163" i="21" s="1"/>
  <c r="H370" i="21"/>
  <c r="H410" i="21"/>
  <c r="H381" i="21"/>
  <c r="H44" i="26" l="1"/>
  <c r="H45" i="28"/>
  <c r="D44" i="26"/>
  <c r="D45" i="28"/>
  <c r="H248" i="21"/>
  <c r="G34" i="26"/>
  <c r="H336" i="21"/>
  <c r="H337" i="21" s="1"/>
  <c r="H335" i="21"/>
  <c r="H189" i="21" l="1"/>
  <c r="H245" i="21" l="1"/>
  <c r="H372" i="21" l="1"/>
  <c r="H274" i="21"/>
  <c r="H275" i="21" s="1"/>
  <c r="H375" i="21" l="1"/>
  <c r="H374" i="21"/>
</calcChain>
</file>

<file path=xl/comments1.xml><?xml version="1.0" encoding="utf-8"?>
<comments xmlns="http://schemas.openxmlformats.org/spreadsheetml/2006/main">
  <authors>
    <author>Ragudos Lionel Ranches (IFAP PMM SMD AP APC)</author>
  </authors>
  <commentList>
    <comment ref="H59" authorId="0" shapeId="0">
      <text>
        <r>
          <rPr>
            <b/>
            <sz val="9"/>
            <color indexed="81"/>
            <rFont val="Tahoma"/>
            <family val="2"/>
          </rPr>
          <t>Alternatively a rule of thumb for choosing Cin can be applied
Input AC voltage        Factor
115V                              2μF/W
230V                             1μF/W
85V~270V                     2~3μF/W
Cin=Pin Max× Factor
e.g., Cin=31.25×2=62.5μF(choose 68μF)</t>
        </r>
      </text>
    </comment>
    <comment ref="H70" authorId="0" shapeId="0">
      <text>
        <r>
          <rPr>
            <b/>
            <sz val="9"/>
            <color indexed="81"/>
            <rFont val="Tahoma"/>
            <family val="2"/>
          </rPr>
          <t>For CCM universal input range , choose KRF=0.25~0.5
For CCM Europian input range , choose KRF=0.4~0.8
For DCM, choose KRF=1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9" authorId="0" shapeId="0">
      <text>
        <r>
          <rPr>
            <b/>
            <sz val="9"/>
            <color indexed="81"/>
            <rFont val="Tahoma"/>
            <family val="2"/>
          </rPr>
          <t>Choose your core type (table on the right side) and put in the number.
For new core, select 10 and key in the parameters at column10</t>
        </r>
      </text>
    </comment>
    <comment ref="H102" authorId="0" shapeId="0">
      <text>
        <r>
          <rPr>
            <b/>
            <sz val="9"/>
            <color indexed="81"/>
            <rFont val="Tahoma"/>
            <family val="2"/>
          </rPr>
          <t>In case of an error message, a maximum of 0.3T is recommended for N87 material.
Increase primary turns (cell H96) to reduce flux density.</t>
        </r>
      </text>
    </comment>
    <comment ref="H106" authorId="0" shapeId="0">
      <text>
        <r>
          <rPr>
            <b/>
            <sz val="9"/>
            <color indexed="81"/>
            <rFont val="Tahoma"/>
            <family val="2"/>
          </rPr>
          <t>Safety standard margin:
M=4mm for European safety standard
M=3.2mm for UL1950
M=0mm for triple insulated wire on either primary or secondary</t>
        </r>
      </text>
    </comment>
    <comment ref="H107" authorId="0" shapeId="0">
      <text>
        <r>
          <rPr>
            <b/>
            <sz val="9"/>
            <color indexed="81"/>
            <rFont val="Tahoma"/>
            <family val="2"/>
          </rPr>
          <t>Range from 0.2 to 0.4</t>
        </r>
      </text>
    </comment>
    <comment ref="H121" authorId="0" shapeId="0">
      <text>
        <r>
          <rPr>
            <b/>
            <sz val="9"/>
            <color indexed="81"/>
            <rFont val="Tahoma"/>
            <family val="2"/>
          </rPr>
          <t>Recommended is &lt; 8 A/mm</t>
        </r>
        <r>
          <rPr>
            <b/>
            <vertAlign val="superscript"/>
            <sz val="9"/>
            <color indexed="81"/>
            <rFont val="Tahoma"/>
            <family val="2"/>
          </rPr>
          <t>2</t>
        </r>
      </text>
    </comment>
    <comment ref="H122" authorId="0" shapeId="0">
      <text>
        <r>
          <rPr>
            <b/>
            <sz val="9"/>
            <color indexed="81"/>
            <rFont val="Tahoma"/>
            <family val="2"/>
          </rPr>
          <t>For calculation purposes, insulation thickness for single, double and triple insulated wire is 0.01, 0.02 and 0.04 mm respectively. Ask magnetics supplier for the actual insulation thickness.</t>
        </r>
      </text>
    </comment>
    <comment ref="H135" authorId="0" shapeId="0">
      <text>
        <r>
          <rPr>
            <b/>
            <sz val="9"/>
            <color indexed="81"/>
            <rFont val="Tahoma"/>
            <family val="2"/>
          </rPr>
          <t>Recommended is &lt; 8 A/mm</t>
        </r>
        <r>
          <rPr>
            <b/>
            <vertAlign val="superscript"/>
            <sz val="9"/>
            <color indexed="81"/>
            <rFont val="Tahoma"/>
            <family val="2"/>
          </rPr>
          <t>2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For calculation purposes, insulation thickness for single, double and triple insulated wire is 0.01, 0.02 and 0.04 mm respectively. Ask magnetics supplier for the actual insulation thickness.</t>
        </r>
      </text>
    </comment>
    <comment ref="H143" authorId="0" shapeId="0">
      <text>
        <r>
          <rPr>
            <b/>
            <sz val="9"/>
            <color indexed="81"/>
            <rFont val="Tahoma"/>
            <family val="2"/>
          </rPr>
          <t>From 1% to 10% depending on the primary and secondary coupling</t>
        </r>
      </text>
    </comment>
  </commentList>
</comments>
</file>

<file path=xl/comments2.xml><?xml version="1.0" encoding="utf-8"?>
<comments xmlns="http://schemas.openxmlformats.org/spreadsheetml/2006/main">
  <authors>
    <author>Ragudos Lionel Ranches (IFAP PMM SMD AP APC)</author>
  </authors>
  <commentList>
    <comment ref="H69" authorId="0" shapeId="0">
      <text>
        <r>
          <rPr>
            <b/>
            <sz val="9"/>
            <color indexed="81"/>
            <rFont val="Tahoma"/>
            <family val="2"/>
          </rPr>
          <t>Alternatively a rule of thumb for choosing Cin can be applied
Input AC voltage        Factor
115V                              2μF/W
230V                             1μF/W
85V~270V                     2~3μF/W
Cin=Pin Max× Factor
e.g., Cin=31.25×2=62.5μF(choose 68μF)</t>
        </r>
      </text>
    </comment>
    <comment ref="H80" authorId="0" shapeId="0">
      <text>
        <r>
          <rPr>
            <b/>
            <sz val="9"/>
            <color indexed="81"/>
            <rFont val="Tahoma"/>
            <family val="2"/>
          </rPr>
          <t>For CCM universal input range , choose KRF=0.25~0.5
For CCM Europian input range , choose KRF=0.4~0.8
For DCM, choose KRF=1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9" authorId="0" shapeId="0">
      <text>
        <r>
          <rPr>
            <b/>
            <sz val="9"/>
            <color indexed="81"/>
            <rFont val="Tahoma"/>
            <family val="2"/>
          </rPr>
          <t>Choose your core type (table on the right side) and put in the number.
For new core, select 10 and key in the parameters at column10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</rPr>
          <t>In case of an error message, a maximum of 0.3T is recommended for N87 material.
Increase primary turns (cell H96) to reduce flux density.</t>
        </r>
      </text>
    </comment>
    <comment ref="H119" authorId="0" shapeId="0">
      <text>
        <r>
          <rPr>
            <b/>
            <sz val="9"/>
            <color indexed="81"/>
            <rFont val="Tahoma"/>
            <family val="2"/>
          </rPr>
          <t>Safety standard margin:
M=4mm for European safety standard
M=3.2mm for UL1950
M=0mm for triple insulated wire on either primary or secondary</t>
        </r>
      </text>
    </comment>
    <comment ref="H120" authorId="0" shapeId="0">
      <text>
        <r>
          <rPr>
            <b/>
            <sz val="9"/>
            <color indexed="81"/>
            <rFont val="Tahoma"/>
            <family val="2"/>
          </rPr>
          <t>Range from 0.2 to 0.4</t>
        </r>
      </text>
    </comment>
    <comment ref="H135" authorId="0" shapeId="0">
      <text>
        <r>
          <rPr>
            <b/>
            <sz val="9"/>
            <color indexed="81"/>
            <rFont val="Tahoma"/>
            <family val="2"/>
          </rPr>
          <t>Recommended is &lt; 8 A/mm</t>
        </r>
        <r>
          <rPr>
            <b/>
            <vertAlign val="superscript"/>
            <sz val="9"/>
            <color indexed="81"/>
            <rFont val="Tahoma"/>
            <family val="2"/>
          </rPr>
          <t>2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For calculation purposes, insulation thickness for single, double and triple insulated wire is 0.01, 0.02 and 0.04 mm respectively. Ask magnetics supplier for the actual insulation thickness.</t>
        </r>
      </text>
    </comment>
    <comment ref="H149" authorId="0" shapeId="0">
      <text>
        <r>
          <rPr>
            <b/>
            <sz val="9"/>
            <color indexed="81"/>
            <rFont val="Tahoma"/>
            <family val="2"/>
          </rPr>
          <t>Recommended is &lt; 8 A/mm</t>
        </r>
        <r>
          <rPr>
            <b/>
            <vertAlign val="superscript"/>
            <sz val="9"/>
            <color indexed="81"/>
            <rFont val="Tahoma"/>
            <family val="2"/>
          </rPr>
          <t>2</t>
        </r>
      </text>
    </comment>
    <comment ref="H150" authorId="0" shapeId="0">
      <text>
        <r>
          <rPr>
            <b/>
            <sz val="9"/>
            <color indexed="81"/>
            <rFont val="Tahoma"/>
            <family val="2"/>
          </rPr>
          <t>For calculation purposes, insulation thickness for single, double and triple insulated wire is 0.01, 0.02 and 0.04 mm respectively. Ask magnetics supplier for the actual insulation thickness.</t>
        </r>
      </text>
    </comment>
    <comment ref="H163" authorId="0" shapeId="0">
      <text>
        <r>
          <rPr>
            <b/>
            <sz val="9"/>
            <color indexed="81"/>
            <rFont val="Tahoma"/>
            <family val="2"/>
          </rPr>
          <t>Recommended is &lt; 8 A/mm</t>
        </r>
        <r>
          <rPr>
            <b/>
            <vertAlign val="superscript"/>
            <sz val="9"/>
            <color indexed="81"/>
            <rFont val="Tahoma"/>
            <family val="2"/>
          </rPr>
          <t>2</t>
        </r>
      </text>
    </comment>
    <comment ref="H164" authorId="0" shapeId="0">
      <text>
        <r>
          <rPr>
            <b/>
            <sz val="9"/>
            <color indexed="81"/>
            <rFont val="Tahoma"/>
            <family val="2"/>
          </rPr>
          <t>For calculation purposes, insulation thickness for single, double and triple insulated wire is 0.01, 0.02 and 0.04 mm respectively. Ask magnetics supplier for the actual insulation thickness.</t>
        </r>
      </text>
    </comment>
    <comment ref="H171" authorId="0" shapeId="0">
      <text>
        <r>
          <rPr>
            <b/>
            <sz val="9"/>
            <color indexed="81"/>
            <rFont val="Tahoma"/>
            <family val="2"/>
          </rPr>
          <t>From 1% to 10% depending on the primary and secondary coupling</t>
        </r>
      </text>
    </comment>
  </commentList>
</comments>
</file>

<file path=xl/sharedStrings.xml><?xml version="1.0" encoding="utf-8"?>
<sst xmlns="http://schemas.openxmlformats.org/spreadsheetml/2006/main" count="2634" uniqueCount="882">
  <si>
    <t>Read design results in green coloured cells</t>
  </si>
  <si>
    <t>Unit</t>
  </si>
  <si>
    <t>Input</t>
  </si>
  <si>
    <t>[V]</t>
  </si>
  <si>
    <t xml:space="preserve"> </t>
  </si>
  <si>
    <t>[W]</t>
  </si>
  <si>
    <t>Efficency</t>
  </si>
  <si>
    <t>[Hz]</t>
  </si>
  <si>
    <t>result</t>
  </si>
  <si>
    <t>[uF]</t>
  </si>
  <si>
    <t>[A]</t>
  </si>
  <si>
    <t>[ms]</t>
  </si>
  <si>
    <t>[Ws]</t>
  </si>
  <si>
    <t>[H]</t>
  </si>
  <si>
    <t>E25/13/7</t>
  </si>
  <si>
    <t>E30/15/7</t>
  </si>
  <si>
    <t>E32/16/9</t>
  </si>
  <si>
    <t>E36/18/11</t>
  </si>
  <si>
    <t>E42/21/15</t>
  </si>
  <si>
    <t>[mm]</t>
  </si>
  <si>
    <t>BW</t>
  </si>
  <si>
    <r>
      <t>A</t>
    </r>
    <r>
      <rPr>
        <vertAlign val="subscript"/>
        <sz val="12"/>
        <rFont val="Arial"/>
        <family val="2"/>
      </rPr>
      <t>N</t>
    </r>
  </si>
  <si>
    <r>
      <t>[mm</t>
    </r>
    <r>
      <rPr>
        <vertAlign val="superscript"/>
        <sz val="12"/>
        <rFont val="Arial"/>
        <family val="2"/>
      </rPr>
      <t>2</t>
    </r>
    <r>
      <rPr>
        <sz val="10"/>
        <rFont val="Arial"/>
        <family val="2"/>
      </rPr>
      <t>]</t>
    </r>
  </si>
  <si>
    <t>Ae</t>
  </si>
  <si>
    <t xml:space="preserve"> [mm²]</t>
  </si>
  <si>
    <t>[T]</t>
  </si>
  <si>
    <r>
      <t>B</t>
    </r>
    <r>
      <rPr>
        <vertAlign val="subscript"/>
        <sz val="12"/>
        <rFont val="Arial"/>
        <family val="2"/>
      </rPr>
      <t>max</t>
    </r>
  </si>
  <si>
    <t xml:space="preserve">  </t>
  </si>
  <si>
    <t>turns</t>
  </si>
  <si>
    <t>M</t>
  </si>
  <si>
    <t>Margin according to safety standard</t>
  </si>
  <si>
    <t>Copper space factor</t>
  </si>
  <si>
    <t>Insulation thickness</t>
  </si>
  <si>
    <t>[mm²]</t>
  </si>
  <si>
    <t>AWG</t>
  </si>
  <si>
    <r>
      <t>[A/mm</t>
    </r>
    <r>
      <rPr>
        <vertAlign val="superscript"/>
        <sz val="12"/>
        <rFont val="Arial"/>
        <family val="2"/>
      </rPr>
      <t>2</t>
    </r>
    <r>
      <rPr>
        <sz val="10"/>
        <rFont val="Arial"/>
        <family val="2"/>
      </rPr>
      <t>]</t>
    </r>
  </si>
  <si>
    <t>turns/layer</t>
  </si>
  <si>
    <t>layers</t>
  </si>
  <si>
    <t>Leakage Inductance</t>
  </si>
  <si>
    <t>[nF]</t>
  </si>
  <si>
    <t>[Khz]</t>
  </si>
  <si>
    <t>[uH]</t>
  </si>
  <si>
    <t>[mV]</t>
  </si>
  <si>
    <t>Input diode bridge</t>
  </si>
  <si>
    <t>[mW]</t>
  </si>
  <si>
    <t>Output rectifier diode</t>
  </si>
  <si>
    <t>[pF]</t>
  </si>
  <si>
    <t>MOSFET Losses</t>
  </si>
  <si>
    <t>Efficiency</t>
  </si>
  <si>
    <t>Electrical</t>
  </si>
  <si>
    <t>Minimum AC Voltage</t>
  </si>
  <si>
    <t>Maximum AC Voltage</t>
  </si>
  <si>
    <t>Maximum Input Current</t>
  </si>
  <si>
    <t>Minimum DC Voltage</t>
  </si>
  <si>
    <t>Maximum DC Voltage</t>
  </si>
  <si>
    <t>Maximum Output Power</t>
  </si>
  <si>
    <t>Maximum Duty Cycle</t>
  </si>
  <si>
    <t>Copper Losses</t>
  </si>
  <si>
    <t>Sum Losses</t>
  </si>
  <si>
    <t>Transformer</t>
  </si>
  <si>
    <t>Core Type</t>
  </si>
  <si>
    <t>Effective Core Area</t>
  </si>
  <si>
    <t>[mT]</t>
  </si>
  <si>
    <t>Inductance</t>
  </si>
  <si>
    <t>Primary Turns</t>
  </si>
  <si>
    <t>Primary Copper Wire Size</t>
  </si>
  <si>
    <t>Primary Layers</t>
  </si>
  <si>
    <t>Components</t>
  </si>
  <si>
    <t>[%]</t>
  </si>
  <si>
    <t>Number of parallel capacitors</t>
  </si>
  <si>
    <t>Number of clock periods</t>
  </si>
  <si>
    <t>Enter design variables in yellow coloured cells</t>
  </si>
  <si>
    <t>Core Material</t>
  </si>
  <si>
    <t>Auxiliary Turns</t>
  </si>
  <si>
    <t>[mA]</t>
  </si>
  <si>
    <t>[V/A]</t>
  </si>
  <si>
    <t>fg</t>
  </si>
  <si>
    <t>[kHz]</t>
  </si>
  <si>
    <t>[db]</t>
  </si>
  <si>
    <t>Project:</t>
  </si>
  <si>
    <t>Date:</t>
  </si>
  <si>
    <t xml:space="preserve">Application:  </t>
  </si>
  <si>
    <t>[°K/W]</t>
  </si>
  <si>
    <t>[°K]</t>
  </si>
  <si>
    <t>°C</t>
  </si>
  <si>
    <r>
      <t>P</t>
    </r>
    <r>
      <rPr>
        <vertAlign val="subscript"/>
        <sz val="10"/>
        <rFont val="Arial"/>
        <family val="2"/>
      </rPr>
      <t>Losses</t>
    </r>
  </si>
  <si>
    <r>
      <t>N</t>
    </r>
    <r>
      <rPr>
        <vertAlign val="subscript"/>
        <sz val="10"/>
        <rFont val="Arial"/>
        <family val="2"/>
      </rPr>
      <t>P</t>
    </r>
  </si>
  <si>
    <t>Tjmax</t>
  </si>
  <si>
    <r>
      <t>C</t>
    </r>
    <r>
      <rPr>
        <vertAlign val="subscript"/>
        <sz val="10"/>
        <rFont val="Arial"/>
        <family val="2"/>
      </rPr>
      <t>VCC</t>
    </r>
  </si>
  <si>
    <t xml:space="preserve">MOSFET </t>
  </si>
  <si>
    <t>ETD29/16/10</t>
  </si>
  <si>
    <t>Calculation of losses</t>
  </si>
  <si>
    <t>BR1</t>
  </si>
  <si>
    <t>F1</t>
  </si>
  <si>
    <t>ESR (Zmax) value from datasheet @ 100kHz</t>
  </si>
  <si>
    <t xml:space="preserve">Co(er) from datasheet </t>
  </si>
  <si>
    <r>
      <t>V</t>
    </r>
    <r>
      <rPr>
        <vertAlign val="subscript"/>
        <sz val="10"/>
        <rFont val="Arial"/>
        <family val="2"/>
      </rPr>
      <t>Clamp</t>
    </r>
  </si>
  <si>
    <t>fs(Hz)</t>
  </si>
  <si>
    <r>
      <t>V</t>
    </r>
    <r>
      <rPr>
        <b/>
        <vertAlign val="subscript"/>
        <sz val="12"/>
        <rFont val="Arial"/>
        <family val="2"/>
      </rPr>
      <t>(BR)DSS</t>
    </r>
    <r>
      <rPr>
        <b/>
        <sz val="12"/>
        <rFont val="Arial"/>
        <family val="2"/>
      </rPr>
      <t>(V)</t>
    </r>
  </si>
  <si>
    <t>Current sense threshold value from datasheet</t>
  </si>
  <si>
    <r>
      <t>A</t>
    </r>
    <r>
      <rPr>
        <b/>
        <vertAlign val="subscript"/>
        <sz val="12"/>
        <rFont val="Arial"/>
        <family val="2"/>
      </rPr>
      <t>V</t>
    </r>
  </si>
  <si>
    <t>PWM-OP Gain from datasheet</t>
  </si>
  <si>
    <r>
      <t>t</t>
    </r>
    <r>
      <rPr>
        <b/>
        <vertAlign val="subscript"/>
        <sz val="12"/>
        <rFont val="Arial"/>
        <family val="2"/>
      </rPr>
      <t>SS</t>
    </r>
    <r>
      <rPr>
        <b/>
        <sz val="12"/>
        <rFont val="Arial"/>
        <family val="2"/>
      </rPr>
      <t xml:space="preserve"> (mS)</t>
    </r>
  </si>
  <si>
    <r>
      <t>V</t>
    </r>
    <r>
      <rPr>
        <b/>
        <vertAlign val="subscript"/>
        <sz val="12"/>
        <rFont val="Arial"/>
        <family val="2"/>
      </rPr>
      <t xml:space="preserve">VCChys </t>
    </r>
    <r>
      <rPr>
        <b/>
        <sz val="12"/>
        <rFont val="Arial"/>
        <family val="2"/>
      </rPr>
      <t>(V)</t>
    </r>
  </si>
  <si>
    <t>N87</t>
  </si>
  <si>
    <t>R26</t>
  </si>
  <si>
    <t>R25</t>
  </si>
  <si>
    <t>R22</t>
  </si>
  <si>
    <t>R23</t>
  </si>
  <si>
    <t>R24</t>
  </si>
  <si>
    <t>C26</t>
  </si>
  <si>
    <t>C25</t>
  </si>
  <si>
    <t>R11</t>
  </si>
  <si>
    <r>
      <t>T</t>
    </r>
    <r>
      <rPr>
        <vertAlign val="subscript"/>
        <sz val="10"/>
        <rFont val="Arial"/>
        <family val="2"/>
      </rPr>
      <t>D</t>
    </r>
  </si>
  <si>
    <r>
      <t>L</t>
    </r>
    <r>
      <rPr>
        <vertAlign val="subscript"/>
        <sz val="10"/>
        <rFont val="Arial"/>
        <family val="2"/>
      </rPr>
      <t>P</t>
    </r>
  </si>
  <si>
    <r>
      <t>Z</t>
    </r>
    <r>
      <rPr>
        <vertAlign val="subscript"/>
        <sz val="10"/>
        <rFont val="Arial"/>
        <family val="2"/>
      </rPr>
      <t>PWM</t>
    </r>
  </si>
  <si>
    <r>
      <t>L</t>
    </r>
    <r>
      <rPr>
        <vertAlign val="subscript"/>
        <sz val="10"/>
        <rFont val="Arial"/>
        <family val="2"/>
      </rPr>
      <t>LK</t>
    </r>
  </si>
  <si>
    <r>
      <t>P</t>
    </r>
    <r>
      <rPr>
        <vertAlign val="subscript"/>
        <sz val="10"/>
        <rFont val="Arial"/>
        <family val="2"/>
      </rPr>
      <t>DIN</t>
    </r>
  </si>
  <si>
    <r>
      <t>R</t>
    </r>
    <r>
      <rPr>
        <vertAlign val="subscript"/>
        <sz val="10"/>
        <rFont val="Arial"/>
        <family val="2"/>
      </rPr>
      <t>PCu</t>
    </r>
  </si>
  <si>
    <r>
      <t>P</t>
    </r>
    <r>
      <rPr>
        <vertAlign val="subscript"/>
        <sz val="10"/>
        <rFont val="Arial"/>
        <family val="2"/>
      </rPr>
      <t>PCu</t>
    </r>
  </si>
  <si>
    <r>
      <t>P</t>
    </r>
    <r>
      <rPr>
        <vertAlign val="subscript"/>
        <sz val="10"/>
        <rFont val="Arial"/>
        <family val="2"/>
      </rPr>
      <t>Cu</t>
    </r>
  </si>
  <si>
    <r>
      <t>K</t>
    </r>
    <r>
      <rPr>
        <vertAlign val="subscript"/>
        <sz val="10"/>
        <rFont val="Arial"/>
        <family val="2"/>
      </rPr>
      <t>FB</t>
    </r>
  </si>
  <si>
    <r>
      <t>G</t>
    </r>
    <r>
      <rPr>
        <vertAlign val="subscript"/>
        <sz val="10"/>
        <rFont val="Arial"/>
        <family val="2"/>
      </rPr>
      <t>FB</t>
    </r>
  </si>
  <si>
    <r>
      <t>K</t>
    </r>
    <r>
      <rPr>
        <vertAlign val="subscript"/>
        <sz val="10"/>
        <rFont val="Arial"/>
        <family val="2"/>
      </rPr>
      <t>VD</t>
    </r>
  </si>
  <si>
    <r>
      <t>G</t>
    </r>
    <r>
      <rPr>
        <vertAlign val="subscript"/>
        <sz val="10"/>
        <rFont val="Arial"/>
        <family val="2"/>
      </rPr>
      <t>VD</t>
    </r>
  </si>
  <si>
    <r>
      <t>|F</t>
    </r>
    <r>
      <rPr>
        <vertAlign val="subscript"/>
        <sz val="10"/>
        <rFont val="Arial"/>
        <family val="2"/>
      </rPr>
      <t>PWR</t>
    </r>
    <r>
      <rPr>
        <sz val="10"/>
        <rFont val="Arial"/>
        <family val="2"/>
      </rPr>
      <t>(fg)|</t>
    </r>
  </si>
  <si>
    <r>
      <t>G</t>
    </r>
    <r>
      <rPr>
        <vertAlign val="subscript"/>
        <sz val="10"/>
        <rFont val="Arial"/>
        <family val="2"/>
      </rPr>
      <t>PWR</t>
    </r>
    <r>
      <rPr>
        <sz val="10"/>
        <rFont val="Arial"/>
        <family val="2"/>
      </rPr>
      <t>(fg)</t>
    </r>
  </si>
  <si>
    <t>600V</t>
  </si>
  <si>
    <t>50V</t>
  </si>
  <si>
    <t>305Vac</t>
  </si>
  <si>
    <t>No.</t>
  </si>
  <si>
    <t>Maximum AC input voltage</t>
  </si>
  <si>
    <t>Minimum AC input voltage</t>
  </si>
  <si>
    <t>Nominal output power</t>
  </si>
  <si>
    <t>Minimum output power</t>
  </si>
  <si>
    <t>η</t>
  </si>
  <si>
    <t>Line frequency</t>
  </si>
  <si>
    <t>Reflection voltage</t>
  </si>
  <si>
    <t>[°C]</t>
  </si>
  <si>
    <t>Vcc Voltage</t>
  </si>
  <si>
    <r>
      <t>W</t>
    </r>
    <r>
      <rPr>
        <vertAlign val="subscript"/>
        <sz val="10"/>
        <rFont val="Arial"/>
        <family val="2"/>
      </rPr>
      <t>In</t>
    </r>
  </si>
  <si>
    <r>
      <t>I</t>
    </r>
    <r>
      <rPr>
        <vertAlign val="subscript"/>
        <sz val="10"/>
        <rFont val="Arial"/>
        <family val="2"/>
      </rPr>
      <t>AV</t>
    </r>
  </si>
  <si>
    <r>
      <rPr>
        <sz val="10"/>
        <rFont val="Calibri"/>
        <family val="2"/>
      </rPr>
      <t>Δ</t>
    </r>
    <r>
      <rPr>
        <sz val="10"/>
        <rFont val="Arial"/>
        <family val="2"/>
      </rPr>
      <t>I</t>
    </r>
  </si>
  <si>
    <r>
      <t>I</t>
    </r>
    <r>
      <rPr>
        <vertAlign val="subscript"/>
        <sz val="10"/>
        <rFont val="Arial"/>
        <family val="2"/>
      </rPr>
      <t>Valley</t>
    </r>
  </si>
  <si>
    <r>
      <t>N</t>
    </r>
    <r>
      <rPr>
        <vertAlign val="subscript"/>
        <sz val="10"/>
        <rFont val="Arial"/>
        <family val="2"/>
      </rPr>
      <t>Vcc</t>
    </r>
  </si>
  <si>
    <r>
      <t>V</t>
    </r>
    <r>
      <rPr>
        <vertAlign val="subscript"/>
        <sz val="10"/>
        <rFont val="Arial"/>
        <family val="2"/>
      </rPr>
      <t>Vcc</t>
    </r>
  </si>
  <si>
    <t>Post calculation</t>
  </si>
  <si>
    <t>Select core type</t>
  </si>
  <si>
    <t>Winding calculation</t>
  </si>
  <si>
    <t>Transformer winding design</t>
  </si>
  <si>
    <r>
      <t>l</t>
    </r>
    <r>
      <rPr>
        <vertAlign val="subscript"/>
        <sz val="10"/>
        <rFont val="Arial"/>
        <family val="2"/>
      </rPr>
      <t>N</t>
    </r>
  </si>
  <si>
    <t>RCD clamper circuit</t>
  </si>
  <si>
    <t>Controller</t>
  </si>
  <si>
    <t>Voltage divider</t>
  </si>
  <si>
    <r>
      <t>[mm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</si>
  <si>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Maximum Flux Density</t>
  </si>
  <si>
    <t>layer</t>
  </si>
  <si>
    <r>
      <t>D</t>
    </r>
    <r>
      <rPr>
        <vertAlign val="subscript"/>
        <sz val="10"/>
        <rFont val="Arial"/>
        <family val="2"/>
      </rPr>
      <t>Max</t>
    </r>
  </si>
  <si>
    <r>
      <t>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>'</t>
    </r>
  </si>
  <si>
    <t xml:space="preserve"> [uF]</t>
  </si>
  <si>
    <r>
      <rPr>
        <sz val="10"/>
        <rFont val="Calibri"/>
        <family val="2"/>
      </rPr>
      <t>Δ</t>
    </r>
    <r>
      <rPr>
        <sz val="10"/>
        <rFont val="Arial"/>
        <family val="2"/>
      </rPr>
      <t>T</t>
    </r>
  </si>
  <si>
    <r>
      <t>R</t>
    </r>
    <r>
      <rPr>
        <vertAlign val="subscript"/>
        <sz val="10"/>
        <rFont val="Arial"/>
        <family val="2"/>
      </rPr>
      <t>LH</t>
    </r>
  </si>
  <si>
    <r>
      <t>R</t>
    </r>
    <r>
      <rPr>
        <vertAlign val="subscript"/>
        <sz val="10"/>
        <rFont val="Arial"/>
        <family val="2"/>
      </rPr>
      <t>LL</t>
    </r>
  </si>
  <si>
    <r>
      <t>f</t>
    </r>
    <r>
      <rPr>
        <vertAlign val="subscript"/>
        <sz val="10"/>
        <rFont val="Arial"/>
        <family val="2"/>
      </rPr>
      <t>OH</t>
    </r>
  </si>
  <si>
    <r>
      <t>f</t>
    </r>
    <r>
      <rPr>
        <vertAlign val="subscript"/>
        <sz val="10"/>
        <rFont val="Arial"/>
        <family val="2"/>
      </rPr>
      <t>OL</t>
    </r>
  </si>
  <si>
    <r>
      <t>f</t>
    </r>
    <r>
      <rPr>
        <vertAlign val="subscript"/>
        <sz val="10"/>
        <rFont val="Arial"/>
        <family val="2"/>
      </rPr>
      <t>OM</t>
    </r>
  </si>
  <si>
    <r>
      <t>B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</t>
    </r>
  </si>
  <si>
    <t>Maximum flux density</t>
  </si>
  <si>
    <r>
      <t>A</t>
    </r>
    <r>
      <rPr>
        <vertAlign val="subscript"/>
        <sz val="10"/>
        <rFont val="Arial"/>
        <family val="2"/>
      </rPr>
      <t>e</t>
    </r>
  </si>
  <si>
    <t>Bobbin width</t>
  </si>
  <si>
    <r>
      <t>A</t>
    </r>
    <r>
      <rPr>
        <vertAlign val="subscript"/>
        <sz val="10"/>
        <rFont val="Arial"/>
        <family val="2"/>
      </rPr>
      <t>N</t>
    </r>
  </si>
  <si>
    <t>Winding cross section</t>
  </si>
  <si>
    <r>
      <t>l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</t>
    </r>
  </si>
  <si>
    <t>Average length of turn</t>
  </si>
  <si>
    <t xml:space="preserve">Efficiency after Losses </t>
  </si>
  <si>
    <r>
      <t>P</t>
    </r>
    <r>
      <rPr>
        <vertAlign val="subscript"/>
        <sz val="10"/>
        <rFont val="Arial"/>
        <family val="2"/>
      </rPr>
      <t>Clamper</t>
    </r>
  </si>
  <si>
    <t>CoolSET:</t>
  </si>
  <si>
    <t>EE20/10/6</t>
  </si>
  <si>
    <t>TP4A(TDG)</t>
  </si>
  <si>
    <t>Failure condition</t>
  </si>
  <si>
    <t>Protection Mode</t>
  </si>
  <si>
    <t>Auto Restart</t>
  </si>
  <si>
    <t>300Vac</t>
  </si>
  <si>
    <t>Revision:</t>
  </si>
  <si>
    <t>Output voltage 2</t>
  </si>
  <si>
    <t>Output voltage 1</t>
  </si>
  <si>
    <r>
      <t>N</t>
    </r>
    <r>
      <rPr>
        <vertAlign val="subscript"/>
        <sz val="10"/>
        <rFont val="Arial"/>
        <family val="2"/>
      </rPr>
      <t>S1</t>
    </r>
  </si>
  <si>
    <r>
      <t>N</t>
    </r>
    <r>
      <rPr>
        <vertAlign val="subscript"/>
        <sz val="10"/>
        <rFont val="Arial"/>
        <family val="2"/>
      </rPr>
      <t>S2</t>
    </r>
  </si>
  <si>
    <r>
      <t>I</t>
    </r>
    <r>
      <rPr>
        <vertAlign val="subscript"/>
        <sz val="10"/>
        <rFont val="Arial"/>
        <family val="2"/>
      </rPr>
      <t>KAmin</t>
    </r>
  </si>
  <si>
    <r>
      <t>I</t>
    </r>
    <r>
      <rPr>
        <vertAlign val="subscript"/>
        <sz val="10"/>
        <rFont val="Arial"/>
        <family val="2"/>
      </rPr>
      <t>Fmax</t>
    </r>
  </si>
  <si>
    <r>
      <t>V</t>
    </r>
    <r>
      <rPr>
        <vertAlign val="subscript"/>
        <sz val="10"/>
        <rFont val="Arial"/>
        <family val="2"/>
      </rPr>
      <t>REF</t>
    </r>
  </si>
  <si>
    <r>
      <t>R</t>
    </r>
    <r>
      <rPr>
        <vertAlign val="subscript"/>
        <sz val="10"/>
        <rFont val="Arial"/>
        <family val="2"/>
      </rPr>
      <t>FB</t>
    </r>
  </si>
  <si>
    <t>500V</t>
  </si>
  <si>
    <t>Normal Mode</t>
  </si>
  <si>
    <t>Burst Mode</t>
  </si>
  <si>
    <t>√</t>
  </si>
  <si>
    <t>x</t>
  </si>
  <si>
    <t>Odd Skip Auto Restart</t>
  </si>
  <si>
    <t>Over Load</t>
  </si>
  <si>
    <r>
      <t>V</t>
    </r>
    <r>
      <rPr>
        <vertAlign val="subscript"/>
        <sz val="10"/>
        <color rgb="FF000000"/>
        <rFont val="Source Sans Pro"/>
        <family val="2"/>
      </rPr>
      <t>CC</t>
    </r>
    <r>
      <rPr>
        <sz val="10"/>
        <color rgb="FF000000"/>
        <rFont val="Source Sans Pro"/>
        <family val="2"/>
      </rPr>
      <t xml:space="preserve"> Over Voltage</t>
    </r>
  </si>
  <si>
    <r>
      <t>V</t>
    </r>
    <r>
      <rPr>
        <vertAlign val="subscript"/>
        <sz val="10"/>
        <color rgb="FF000000"/>
        <rFont val="Source Sans Pro"/>
        <family val="2"/>
      </rPr>
      <t>CC</t>
    </r>
    <r>
      <rPr>
        <sz val="10"/>
        <color rgb="FF000000"/>
        <rFont val="Source Sans Pro"/>
        <family val="2"/>
      </rPr>
      <t xml:space="preserve"> Under Voltage</t>
    </r>
  </si>
  <si>
    <t>Burst On</t>
  </si>
  <si>
    <t>Burst Off</t>
  </si>
  <si>
    <t xml:space="preserve"> Vcc &lt; 10 V &amp; last for 50 μs</t>
  </si>
  <si>
    <r>
      <t>T</t>
    </r>
    <r>
      <rPr>
        <vertAlign val="subscript"/>
        <sz val="10"/>
        <rFont val="Source Sans Pro"/>
        <family val="2"/>
      </rPr>
      <t>J</t>
    </r>
    <r>
      <rPr>
        <sz val="10"/>
        <rFont val="Source Sans Pro"/>
        <family val="2"/>
      </rPr>
      <t xml:space="preserve"> &gt; 140°C (40°C Hysteresis to reset OTP)</t>
    </r>
  </si>
  <si>
    <t>Protection Function</t>
  </si>
  <si>
    <t>Non switch Auto Restart</t>
  </si>
  <si>
    <r>
      <t>I</t>
    </r>
    <r>
      <rPr>
        <vertAlign val="subscript"/>
        <sz val="10"/>
        <rFont val="Arial"/>
        <family val="2"/>
      </rPr>
      <t>R26</t>
    </r>
  </si>
  <si>
    <t>TL431 reference voltage</t>
  </si>
  <si>
    <r>
      <t>V</t>
    </r>
    <r>
      <rPr>
        <vertAlign val="subscript"/>
        <sz val="10"/>
        <rFont val="Arial"/>
        <family val="2"/>
      </rPr>
      <t>REF_TL</t>
    </r>
  </si>
  <si>
    <r>
      <t>W</t>
    </r>
    <r>
      <rPr>
        <vertAlign val="subscript"/>
        <sz val="10"/>
        <rFont val="Arial"/>
        <family val="2"/>
      </rPr>
      <t>1</t>
    </r>
  </si>
  <si>
    <t>R25A</t>
  </si>
  <si>
    <t>Over Temperature of controller</t>
  </si>
  <si>
    <t>Targeted Max. Drain Source voltage</t>
  </si>
  <si>
    <t>ER28/14</t>
  </si>
  <si>
    <t>ER28/17</t>
  </si>
  <si>
    <t xml:space="preserve">Switching frequency </t>
  </si>
  <si>
    <t xml:space="preserve">Forward voltage of Vcc diode(D2) </t>
  </si>
  <si>
    <r>
      <t>N</t>
    </r>
    <r>
      <rPr>
        <vertAlign val="subscript"/>
        <sz val="10"/>
        <rFont val="Arial"/>
        <family val="2"/>
      </rPr>
      <t>PCal</t>
    </r>
  </si>
  <si>
    <r>
      <t>N</t>
    </r>
    <r>
      <rPr>
        <vertAlign val="subscript"/>
        <sz val="10"/>
        <rFont val="Arial"/>
        <family val="2"/>
      </rPr>
      <t>S1Cal</t>
    </r>
  </si>
  <si>
    <r>
      <t>N</t>
    </r>
    <r>
      <rPr>
        <vertAlign val="subscript"/>
        <sz val="10"/>
        <rFont val="Arial"/>
        <family val="2"/>
      </rPr>
      <t>S2Cal</t>
    </r>
  </si>
  <si>
    <r>
      <t>N</t>
    </r>
    <r>
      <rPr>
        <vertAlign val="subscript"/>
        <sz val="10"/>
        <rFont val="Arial"/>
        <family val="2"/>
      </rPr>
      <t>VccCal</t>
    </r>
  </si>
  <si>
    <r>
      <t>V</t>
    </r>
    <r>
      <rPr>
        <vertAlign val="subscript"/>
        <sz val="10"/>
        <rFont val="Arial"/>
        <family val="2"/>
      </rPr>
      <t>VccCal</t>
    </r>
  </si>
  <si>
    <r>
      <t>V</t>
    </r>
    <r>
      <rPr>
        <vertAlign val="subscript"/>
        <sz val="10"/>
        <rFont val="Arial"/>
        <family val="2"/>
      </rPr>
      <t>RPost</t>
    </r>
  </si>
  <si>
    <r>
      <t>D</t>
    </r>
    <r>
      <rPr>
        <vertAlign val="subscript"/>
        <sz val="10"/>
        <rFont val="Arial"/>
        <family val="2"/>
      </rPr>
      <t>MaxPost</t>
    </r>
  </si>
  <si>
    <r>
      <t>B</t>
    </r>
    <r>
      <rPr>
        <vertAlign val="subscript"/>
        <sz val="10"/>
        <rFont val="Arial"/>
        <family val="2"/>
      </rPr>
      <t>MaxAct</t>
    </r>
  </si>
  <si>
    <r>
      <t>BW</t>
    </r>
    <r>
      <rPr>
        <vertAlign val="subscript"/>
        <sz val="10"/>
        <rFont val="Arial"/>
        <family val="2"/>
      </rPr>
      <t>E</t>
    </r>
  </si>
  <si>
    <r>
      <t>A</t>
    </r>
    <r>
      <rPr>
        <vertAlign val="subscript"/>
        <sz val="10"/>
        <rFont val="Arial"/>
        <family val="2"/>
      </rPr>
      <t>Ne</t>
    </r>
  </si>
  <si>
    <t>Secondary 1 winding area factor</t>
  </si>
  <si>
    <t>Secondary 2 winding area factor</t>
  </si>
  <si>
    <t>Auxiliary winding area factor</t>
  </si>
  <si>
    <t>Cross sectional area</t>
  </si>
  <si>
    <r>
      <t>A</t>
    </r>
    <r>
      <rPr>
        <vertAlign val="subscript"/>
        <sz val="10"/>
        <rFont val="Arial"/>
        <family val="2"/>
      </rPr>
      <t>PCal</t>
    </r>
  </si>
  <si>
    <r>
      <t>d</t>
    </r>
    <r>
      <rPr>
        <vertAlign val="subscript"/>
        <sz val="10"/>
        <rFont val="Arial"/>
        <family val="2"/>
      </rPr>
      <t>P</t>
    </r>
  </si>
  <si>
    <r>
      <t>A</t>
    </r>
    <r>
      <rPr>
        <vertAlign val="subscript"/>
        <sz val="10"/>
        <rFont val="Arial"/>
        <family val="2"/>
      </rPr>
      <t>P</t>
    </r>
  </si>
  <si>
    <r>
      <t>S</t>
    </r>
    <r>
      <rPr>
        <vertAlign val="subscript"/>
        <sz val="10"/>
        <rFont val="Arial"/>
        <family val="2"/>
      </rPr>
      <t>P</t>
    </r>
  </si>
  <si>
    <r>
      <t>NL</t>
    </r>
    <r>
      <rPr>
        <vertAlign val="subscript"/>
        <sz val="10"/>
        <rFont val="Arial"/>
        <family val="2"/>
      </rPr>
      <t>P</t>
    </r>
  </si>
  <si>
    <r>
      <t>Ln</t>
    </r>
    <r>
      <rPr>
        <vertAlign val="subscript"/>
        <sz val="10"/>
        <rFont val="Arial"/>
        <family val="2"/>
      </rPr>
      <t>P</t>
    </r>
  </si>
  <si>
    <r>
      <t>AWG</t>
    </r>
    <r>
      <rPr>
        <vertAlign val="subscript"/>
        <sz val="10"/>
        <rFont val="Arial"/>
        <family val="2"/>
      </rPr>
      <t>PCal</t>
    </r>
  </si>
  <si>
    <r>
      <t>AWG</t>
    </r>
    <r>
      <rPr>
        <vertAlign val="subscript"/>
        <sz val="10"/>
        <rFont val="Arial"/>
        <family val="2"/>
      </rPr>
      <t>S1Cal</t>
    </r>
  </si>
  <si>
    <r>
      <t>I</t>
    </r>
    <r>
      <rPr>
        <vertAlign val="subscript"/>
        <sz val="10"/>
        <rFont val="Arial"/>
        <family val="2"/>
      </rPr>
      <t>S1RMS</t>
    </r>
  </si>
  <si>
    <r>
      <t>A</t>
    </r>
    <r>
      <rPr>
        <vertAlign val="subscript"/>
        <sz val="10"/>
        <rFont val="Arial"/>
        <family val="2"/>
      </rPr>
      <t>NS1Cal</t>
    </r>
  </si>
  <si>
    <r>
      <t>d</t>
    </r>
    <r>
      <rPr>
        <vertAlign val="subscript"/>
        <sz val="10"/>
        <rFont val="Arial"/>
        <family val="2"/>
      </rPr>
      <t>S1</t>
    </r>
  </si>
  <si>
    <r>
      <t>A</t>
    </r>
    <r>
      <rPr>
        <vertAlign val="subscript"/>
        <sz val="10"/>
        <rFont val="Arial"/>
        <family val="2"/>
      </rPr>
      <t>S1</t>
    </r>
  </si>
  <si>
    <r>
      <t>S</t>
    </r>
    <r>
      <rPr>
        <vertAlign val="subscript"/>
        <sz val="10"/>
        <rFont val="Arial"/>
        <family val="2"/>
      </rPr>
      <t>S1</t>
    </r>
  </si>
  <si>
    <r>
      <t>NL</t>
    </r>
    <r>
      <rPr>
        <vertAlign val="subscript"/>
        <sz val="10"/>
        <rFont val="Arial"/>
        <family val="2"/>
      </rPr>
      <t>S1</t>
    </r>
  </si>
  <si>
    <r>
      <t>Ln</t>
    </r>
    <r>
      <rPr>
        <vertAlign val="subscript"/>
        <sz val="10"/>
        <rFont val="Arial"/>
        <family val="2"/>
      </rPr>
      <t>S1</t>
    </r>
  </si>
  <si>
    <r>
      <t>A</t>
    </r>
    <r>
      <rPr>
        <vertAlign val="subscript"/>
        <sz val="10"/>
        <rFont val="Arial"/>
        <family val="2"/>
      </rPr>
      <t>NS2Cal</t>
    </r>
  </si>
  <si>
    <r>
      <t>AWG</t>
    </r>
    <r>
      <rPr>
        <vertAlign val="subscript"/>
        <sz val="10"/>
        <rFont val="Arial"/>
        <family val="2"/>
      </rPr>
      <t>S2Cal</t>
    </r>
  </si>
  <si>
    <r>
      <t>d</t>
    </r>
    <r>
      <rPr>
        <vertAlign val="subscript"/>
        <sz val="10"/>
        <rFont val="Arial"/>
        <family val="2"/>
      </rPr>
      <t>S2</t>
    </r>
  </si>
  <si>
    <r>
      <t>A</t>
    </r>
    <r>
      <rPr>
        <vertAlign val="subscript"/>
        <sz val="10"/>
        <rFont val="Arial"/>
        <family val="2"/>
      </rPr>
      <t>S2</t>
    </r>
  </si>
  <si>
    <r>
      <t>I</t>
    </r>
    <r>
      <rPr>
        <vertAlign val="subscript"/>
        <sz val="10"/>
        <rFont val="Arial"/>
        <family val="2"/>
      </rPr>
      <t>S2RMS</t>
    </r>
  </si>
  <si>
    <r>
      <t>S</t>
    </r>
    <r>
      <rPr>
        <vertAlign val="subscript"/>
        <sz val="10"/>
        <rFont val="Arial"/>
        <family val="2"/>
      </rPr>
      <t>S2</t>
    </r>
  </si>
  <si>
    <r>
      <t>NL</t>
    </r>
    <r>
      <rPr>
        <vertAlign val="subscript"/>
        <sz val="10"/>
        <rFont val="Arial"/>
        <family val="2"/>
      </rPr>
      <t>S2</t>
    </r>
  </si>
  <si>
    <r>
      <t>Ln</t>
    </r>
    <r>
      <rPr>
        <vertAlign val="subscript"/>
        <sz val="10"/>
        <rFont val="Arial"/>
        <family val="2"/>
      </rPr>
      <t>S2</t>
    </r>
  </si>
  <si>
    <r>
      <t>P</t>
    </r>
    <r>
      <rPr>
        <vertAlign val="subscript"/>
        <sz val="10"/>
        <rFont val="Arial"/>
        <family val="2"/>
      </rPr>
      <t>CS</t>
    </r>
  </si>
  <si>
    <r>
      <t>V</t>
    </r>
    <r>
      <rPr>
        <vertAlign val="subscript"/>
        <sz val="10"/>
        <rFont val="Arial"/>
        <family val="2"/>
      </rPr>
      <t>RDiode1</t>
    </r>
  </si>
  <si>
    <r>
      <t>V</t>
    </r>
    <r>
      <rPr>
        <vertAlign val="subscript"/>
        <sz val="10"/>
        <rFont val="Arial"/>
        <family val="2"/>
      </rPr>
      <t>RDiode2</t>
    </r>
  </si>
  <si>
    <r>
      <t>V</t>
    </r>
    <r>
      <rPr>
        <vertAlign val="subscript"/>
        <sz val="10"/>
        <rFont val="Arial"/>
        <family val="2"/>
      </rPr>
      <t>RDiodeVCC</t>
    </r>
  </si>
  <si>
    <r>
      <t>I</t>
    </r>
    <r>
      <rPr>
        <vertAlign val="subscript"/>
        <sz val="10"/>
        <rFont val="Arial"/>
        <family val="2"/>
      </rPr>
      <t>Ripple1</t>
    </r>
  </si>
  <si>
    <r>
      <t>I</t>
    </r>
    <r>
      <rPr>
        <vertAlign val="subscript"/>
        <sz val="10"/>
        <rFont val="Arial"/>
        <family val="2"/>
      </rPr>
      <t>Ripple2</t>
    </r>
  </si>
  <si>
    <r>
      <t>C</t>
    </r>
    <r>
      <rPr>
        <vertAlign val="subscript"/>
        <sz val="10"/>
        <rFont val="Arial"/>
        <family val="2"/>
      </rPr>
      <t>Out1Cal</t>
    </r>
  </si>
  <si>
    <t>Output current 1</t>
  </si>
  <si>
    <t>Output current 2</t>
  </si>
  <si>
    <t xml:space="preserve">Bus capacitor DC ripple voltage </t>
  </si>
  <si>
    <t>Forward voltage of output diode 1</t>
  </si>
  <si>
    <t>Output ripple voltage 1</t>
  </si>
  <si>
    <t>Forward voltage of output diode 2</t>
  </si>
  <si>
    <t>Output ripple voltage 2</t>
  </si>
  <si>
    <t>Maximum output power for overload protection</t>
  </si>
  <si>
    <t>Output power 2</t>
  </si>
  <si>
    <t>Output power 1</t>
  </si>
  <si>
    <t>Power</t>
  </si>
  <si>
    <t>Maximum input power for overload protection</t>
  </si>
  <si>
    <t>Line input</t>
  </si>
  <si>
    <t>Output load weight 1</t>
  </si>
  <si>
    <t>Output load weight 2</t>
  </si>
  <si>
    <r>
      <t>P</t>
    </r>
    <r>
      <rPr>
        <vertAlign val="subscript"/>
        <sz val="10"/>
        <rFont val="Arial"/>
        <family val="2"/>
      </rPr>
      <t>InMax</t>
    </r>
  </si>
  <si>
    <t>Auxiliary</t>
  </si>
  <si>
    <t>Diode bridge</t>
  </si>
  <si>
    <r>
      <t>V</t>
    </r>
    <r>
      <rPr>
        <vertAlign val="subscript"/>
        <sz val="10"/>
        <rFont val="Arial"/>
        <family val="2"/>
      </rPr>
      <t>DCMaxPk</t>
    </r>
  </si>
  <si>
    <t>Input capacitor</t>
  </si>
  <si>
    <r>
      <t>V</t>
    </r>
    <r>
      <rPr>
        <vertAlign val="subscript"/>
        <sz val="10"/>
        <rFont val="Arial"/>
        <family val="2"/>
      </rPr>
      <t>DCMinPk</t>
    </r>
  </si>
  <si>
    <r>
      <t>V</t>
    </r>
    <r>
      <rPr>
        <vertAlign val="subscript"/>
        <sz val="10"/>
        <rFont val="Arial"/>
        <family val="2"/>
      </rPr>
      <t>DCMinSet</t>
    </r>
  </si>
  <si>
    <r>
      <t>C</t>
    </r>
    <r>
      <rPr>
        <vertAlign val="subscript"/>
        <sz val="10"/>
        <rFont val="Arial"/>
        <family val="2"/>
      </rPr>
      <t>INCal</t>
    </r>
  </si>
  <si>
    <t>Maximum AC input current</t>
  </si>
  <si>
    <t>Selected minimum DC input voltage</t>
  </si>
  <si>
    <t>Discharging time at each half-line cycle</t>
  </si>
  <si>
    <t>Required energy at discharging time of input capacitor</t>
  </si>
  <si>
    <t>Calculated input capacitor</t>
  </si>
  <si>
    <t>Calculated minimum DC input voltage</t>
  </si>
  <si>
    <r>
      <t>V</t>
    </r>
    <r>
      <rPr>
        <vertAlign val="subscript"/>
        <sz val="10"/>
        <rFont val="Arial"/>
        <family val="2"/>
      </rPr>
      <t>DCMin</t>
    </r>
  </si>
  <si>
    <r>
      <t>I</t>
    </r>
    <r>
      <rPr>
        <vertAlign val="subscript"/>
        <sz val="10"/>
        <rFont val="Arial"/>
        <family val="2"/>
      </rPr>
      <t>ACRMS</t>
    </r>
  </si>
  <si>
    <t>Maximum duty cycle</t>
  </si>
  <si>
    <t>Select current ripple factor</t>
  </si>
  <si>
    <t>Primary inductance</t>
  </si>
  <si>
    <t>Primary peak-to-peak current</t>
  </si>
  <si>
    <t>Primary peak current</t>
  </si>
  <si>
    <t>Primary valley current</t>
  </si>
  <si>
    <t>Primary RMS current</t>
  </si>
  <si>
    <t>Select number of primary turns</t>
  </si>
  <si>
    <t>Calculated minimum number of primary turns</t>
  </si>
  <si>
    <t>Calculated number of secondary 1 turns</t>
  </si>
  <si>
    <t>Select number of secondary 1 turns</t>
  </si>
  <si>
    <t>Calculated number of secondary 2 turns</t>
  </si>
  <si>
    <t>Select number of secondary 2 turns</t>
  </si>
  <si>
    <t>Calculated number of auxiliary turns</t>
  </si>
  <si>
    <t>Select number of auxiliary turns</t>
  </si>
  <si>
    <t xml:space="preserve">Post calculated reflected voltage </t>
  </si>
  <si>
    <t>Post calculated maximum duty cycle</t>
  </si>
  <si>
    <t>Actual flux density</t>
  </si>
  <si>
    <t>Effective bobbin window</t>
  </si>
  <si>
    <t>Effective winding cross section</t>
  </si>
  <si>
    <t>Primary to secondary 1 turns ratio</t>
  </si>
  <si>
    <t>Primary to secondary 2 turns ratio</t>
  </si>
  <si>
    <r>
      <t>I</t>
    </r>
    <r>
      <rPr>
        <vertAlign val="subscript"/>
        <sz val="10"/>
        <rFont val="Arial"/>
        <family val="2"/>
      </rPr>
      <t>PMax</t>
    </r>
  </si>
  <si>
    <r>
      <t>I</t>
    </r>
    <r>
      <rPr>
        <vertAlign val="subscript"/>
        <sz val="10"/>
        <rFont val="Arial"/>
        <family val="2"/>
      </rPr>
      <t>PRMS</t>
    </r>
  </si>
  <si>
    <r>
      <t>V</t>
    </r>
    <r>
      <rPr>
        <vertAlign val="subscript"/>
        <sz val="10"/>
        <rFont val="Arial"/>
        <family val="2"/>
      </rPr>
      <t>DCmaxCCM</t>
    </r>
  </si>
  <si>
    <r>
      <t>N</t>
    </r>
    <r>
      <rPr>
        <vertAlign val="subscript"/>
        <sz val="10"/>
        <rFont val="Arial"/>
        <family val="2"/>
      </rPr>
      <t>PS1</t>
    </r>
  </si>
  <si>
    <r>
      <t>N</t>
    </r>
    <r>
      <rPr>
        <vertAlign val="subscript"/>
        <sz val="10"/>
        <rFont val="Arial"/>
        <family val="2"/>
      </rPr>
      <t>PS2</t>
    </r>
  </si>
  <si>
    <r>
      <t>I</t>
    </r>
    <r>
      <rPr>
        <vertAlign val="subscript"/>
        <sz val="10"/>
        <rFont val="Arial"/>
        <family val="2"/>
      </rPr>
      <t>S1Max</t>
    </r>
  </si>
  <si>
    <t>Primary turn-on average current</t>
  </si>
  <si>
    <t>Primary winding area factor</t>
  </si>
  <si>
    <r>
      <t>I</t>
    </r>
    <r>
      <rPr>
        <vertAlign val="subscript"/>
        <sz val="10"/>
        <rFont val="Arial"/>
        <family val="2"/>
      </rPr>
      <t>S2Max</t>
    </r>
  </si>
  <si>
    <t>Leakage inductance percentage</t>
  </si>
  <si>
    <t xml:space="preserve">Leakage inductance </t>
  </si>
  <si>
    <t>Clamping voltage</t>
  </si>
  <si>
    <t>Calculated clamping capacitor</t>
  </si>
  <si>
    <r>
      <t>C</t>
    </r>
    <r>
      <rPr>
        <vertAlign val="subscript"/>
        <sz val="10"/>
        <rFont val="Arial"/>
        <family val="2"/>
      </rPr>
      <t>ClampCal</t>
    </r>
  </si>
  <si>
    <t>Calculated clamping resistor</t>
  </si>
  <si>
    <r>
      <t>R</t>
    </r>
    <r>
      <rPr>
        <vertAlign val="subscript"/>
        <sz val="10"/>
        <rFont val="Arial"/>
        <family val="2"/>
      </rPr>
      <t>clamp</t>
    </r>
  </si>
  <si>
    <t>Current sense resistor</t>
  </si>
  <si>
    <t>Max voltage undershoot at output capacitor</t>
  </si>
  <si>
    <t>Output capacitor ripple current</t>
  </si>
  <si>
    <t>Zero frequency of output capacitor</t>
  </si>
  <si>
    <r>
      <t>f</t>
    </r>
    <r>
      <rPr>
        <vertAlign val="subscript"/>
        <sz val="10"/>
        <rFont val="Arial"/>
        <family val="2"/>
      </rPr>
      <t>ZCOut1</t>
    </r>
  </si>
  <si>
    <t>First stage ripple voltage</t>
  </si>
  <si>
    <t>Calculated LC filter capacitor</t>
  </si>
  <si>
    <r>
      <t>C</t>
    </r>
    <r>
      <rPr>
        <vertAlign val="subscript"/>
        <sz val="10"/>
        <rFont val="Arial"/>
        <family val="2"/>
      </rPr>
      <t>LCCal1</t>
    </r>
  </si>
  <si>
    <r>
      <t>V</t>
    </r>
    <r>
      <rPr>
        <vertAlign val="subscript"/>
        <sz val="10"/>
        <rFont val="Arial"/>
        <family val="2"/>
      </rPr>
      <t>Ripple1</t>
    </r>
  </si>
  <si>
    <r>
      <t>f</t>
    </r>
    <r>
      <rPr>
        <vertAlign val="subscript"/>
        <sz val="10"/>
        <rFont val="Arial"/>
        <family val="2"/>
      </rPr>
      <t>LC1</t>
    </r>
  </si>
  <si>
    <t>LC filter frequency</t>
  </si>
  <si>
    <t>Secondary 1 Output rectifier</t>
  </si>
  <si>
    <t>Secondary 2 Output rectifier</t>
  </si>
  <si>
    <r>
      <t>C</t>
    </r>
    <r>
      <rPr>
        <vertAlign val="subscript"/>
        <sz val="10"/>
        <rFont val="Arial"/>
        <family val="2"/>
      </rPr>
      <t>Out2Cal</t>
    </r>
  </si>
  <si>
    <r>
      <t>f</t>
    </r>
    <r>
      <rPr>
        <vertAlign val="subscript"/>
        <sz val="10"/>
        <rFont val="Arial"/>
        <family val="2"/>
      </rPr>
      <t>ZCOut2</t>
    </r>
  </si>
  <si>
    <r>
      <t>V</t>
    </r>
    <r>
      <rPr>
        <vertAlign val="subscript"/>
        <sz val="10"/>
        <rFont val="Arial"/>
        <family val="2"/>
      </rPr>
      <t>Ripple2</t>
    </r>
  </si>
  <si>
    <r>
      <t>C</t>
    </r>
    <r>
      <rPr>
        <vertAlign val="subscript"/>
        <sz val="10"/>
        <rFont val="Arial"/>
        <family val="2"/>
      </rPr>
      <t>LCCal2</t>
    </r>
  </si>
  <si>
    <r>
      <t>f</t>
    </r>
    <r>
      <rPr>
        <vertAlign val="subscript"/>
        <sz val="10"/>
        <rFont val="Arial"/>
        <family val="2"/>
      </rPr>
      <t>LC2</t>
    </r>
  </si>
  <si>
    <t>Vcc diode and capacitor</t>
  </si>
  <si>
    <t>Soft-start time from datasheet</t>
  </si>
  <si>
    <r>
      <t>C</t>
    </r>
    <r>
      <rPr>
        <vertAlign val="subscript"/>
        <sz val="10"/>
        <rFont val="Arial"/>
        <family val="2"/>
      </rPr>
      <t>VCCCal</t>
    </r>
  </si>
  <si>
    <t>Start up time</t>
  </si>
  <si>
    <t>Diode bridge forward voltage</t>
  </si>
  <si>
    <t>Diode bridge power loss</t>
  </si>
  <si>
    <t>Output 1 Specs</t>
  </si>
  <si>
    <r>
      <t>R</t>
    </r>
    <r>
      <rPr>
        <vertAlign val="subscript"/>
        <sz val="10"/>
        <rFont val="Arial"/>
        <family val="2"/>
      </rPr>
      <t>S1Cu</t>
    </r>
  </si>
  <si>
    <r>
      <t>R</t>
    </r>
    <r>
      <rPr>
        <vertAlign val="subscript"/>
        <sz val="10"/>
        <rFont val="Arial"/>
        <family val="2"/>
      </rPr>
      <t>S2Cu</t>
    </r>
  </si>
  <si>
    <r>
      <t>P</t>
    </r>
    <r>
      <rPr>
        <vertAlign val="subscript"/>
        <sz val="10"/>
        <rFont val="Arial"/>
        <family val="2"/>
      </rPr>
      <t>S2Cu</t>
    </r>
  </si>
  <si>
    <r>
      <t>P</t>
    </r>
    <r>
      <rPr>
        <vertAlign val="subscript"/>
        <sz val="10"/>
        <rFont val="Arial"/>
        <family val="2"/>
      </rPr>
      <t>S1Cu</t>
    </r>
  </si>
  <si>
    <t>Transformer copper</t>
  </si>
  <si>
    <r>
      <t>P</t>
    </r>
    <r>
      <rPr>
        <vertAlign val="subscript"/>
        <sz val="10"/>
        <rFont val="Arial"/>
        <family val="2"/>
      </rPr>
      <t>Diode1</t>
    </r>
  </si>
  <si>
    <r>
      <t>P</t>
    </r>
    <r>
      <rPr>
        <vertAlign val="subscript"/>
        <sz val="10"/>
        <rFont val="Arial"/>
        <family val="2"/>
      </rPr>
      <t>Diode2</t>
    </r>
  </si>
  <si>
    <t>Max. ambient temperature</t>
  </si>
  <si>
    <r>
      <t>P</t>
    </r>
    <r>
      <rPr>
        <vertAlign val="subscript"/>
        <sz val="10"/>
        <rFont val="Arial"/>
        <family val="2"/>
      </rPr>
      <t>SONMinAC</t>
    </r>
  </si>
  <si>
    <r>
      <t>P</t>
    </r>
    <r>
      <rPr>
        <vertAlign val="subscript"/>
        <sz val="10"/>
        <rFont val="Arial"/>
        <family val="2"/>
      </rPr>
      <t>condMinAC</t>
    </r>
  </si>
  <si>
    <r>
      <t>P</t>
    </r>
    <r>
      <rPr>
        <vertAlign val="subscript"/>
        <sz val="10"/>
        <rFont val="Arial"/>
        <family val="2"/>
      </rPr>
      <t>MOSMinAC</t>
    </r>
  </si>
  <si>
    <r>
      <t>P</t>
    </r>
    <r>
      <rPr>
        <vertAlign val="subscript"/>
        <sz val="10"/>
        <rFont val="Arial"/>
        <family val="2"/>
      </rPr>
      <t>SONMaxAC</t>
    </r>
  </si>
  <si>
    <r>
      <t>P</t>
    </r>
    <r>
      <rPr>
        <vertAlign val="subscript"/>
        <sz val="10"/>
        <rFont val="Arial"/>
        <family val="2"/>
      </rPr>
      <t>condMaxAC</t>
    </r>
  </si>
  <si>
    <r>
      <t>P</t>
    </r>
    <r>
      <rPr>
        <vertAlign val="subscript"/>
        <sz val="10"/>
        <rFont val="Arial"/>
        <family val="2"/>
      </rPr>
      <t>MOSMaxAC</t>
    </r>
  </si>
  <si>
    <t>Controller current consumption</t>
  </si>
  <si>
    <t>%</t>
  </si>
  <si>
    <t>Diode bridge and input capacitor</t>
  </si>
  <si>
    <t>Primary inductance and winding currents</t>
  </si>
  <si>
    <t>Primary winding</t>
  </si>
  <si>
    <t>Secondary 1 winding</t>
  </si>
  <si>
    <t>Secondary 2 winding</t>
  </si>
  <si>
    <t>Drain voltage and current waveform</t>
  </si>
  <si>
    <t>RCD clamper and current sense resistor</t>
  </si>
  <si>
    <t>Transformer design</t>
  </si>
  <si>
    <t>Ouput rectifier</t>
  </si>
  <si>
    <r>
      <t>G</t>
    </r>
    <r>
      <rPr>
        <vertAlign val="subscript"/>
        <sz val="10"/>
        <rFont val="Arial"/>
        <family val="2"/>
      </rPr>
      <t>C</t>
    </r>
  </si>
  <si>
    <r>
      <t>V</t>
    </r>
    <r>
      <rPr>
        <vertAlign val="subscript"/>
        <sz val="10"/>
        <rFont val="Arial"/>
        <family val="2"/>
      </rPr>
      <t>FOpto</t>
    </r>
  </si>
  <si>
    <t>Output regulation</t>
  </si>
  <si>
    <t>Current transfer ratio (CTR)</t>
  </si>
  <si>
    <t>Optocoupler diode forward voltage</t>
  </si>
  <si>
    <t>Maximum current for optocoupler diode</t>
  </si>
  <si>
    <t xml:space="preserve">Regulation loop </t>
  </si>
  <si>
    <t>Isolated feedback circuit</t>
  </si>
  <si>
    <r>
      <t>R22</t>
    </r>
    <r>
      <rPr>
        <vertAlign val="subscript"/>
        <sz val="10"/>
        <rFont val="Arial"/>
        <family val="2"/>
      </rPr>
      <t>Cal</t>
    </r>
  </si>
  <si>
    <r>
      <t>R23</t>
    </r>
    <r>
      <rPr>
        <vertAlign val="subscript"/>
        <sz val="10"/>
        <rFont val="Arial"/>
        <family val="2"/>
      </rPr>
      <t>Cal</t>
    </r>
  </si>
  <si>
    <r>
      <t>C25</t>
    </r>
    <r>
      <rPr>
        <vertAlign val="subscript"/>
        <sz val="10"/>
        <rFont val="Arial"/>
        <family val="2"/>
      </rPr>
      <t>Cal</t>
    </r>
  </si>
  <si>
    <r>
      <t>C26</t>
    </r>
    <r>
      <rPr>
        <vertAlign val="subscript"/>
        <sz val="10"/>
        <rFont val="Arial"/>
        <family val="2"/>
      </rPr>
      <t>Cal</t>
    </r>
  </si>
  <si>
    <r>
      <t>R24</t>
    </r>
    <r>
      <rPr>
        <vertAlign val="subscript"/>
        <sz val="10"/>
        <rFont val="Arial"/>
        <family val="2"/>
      </rPr>
      <t>Cal</t>
    </r>
  </si>
  <si>
    <t>Output regulation (non-isolated)</t>
  </si>
  <si>
    <t>Non-isolated feedback circuit on VERR pin</t>
  </si>
  <si>
    <r>
      <t>V</t>
    </r>
    <r>
      <rPr>
        <vertAlign val="subscript"/>
        <sz val="10"/>
        <rFont val="Arial"/>
        <family val="2"/>
      </rPr>
      <t>ERR_REF</t>
    </r>
  </si>
  <si>
    <t>RO1</t>
  </si>
  <si>
    <t>RO2</t>
  </si>
  <si>
    <t>RO3</t>
  </si>
  <si>
    <t>Output Voltage 1</t>
  </si>
  <si>
    <r>
      <t>V</t>
    </r>
    <r>
      <rPr>
        <vertAlign val="subscript"/>
        <sz val="10"/>
        <rFont val="Arial"/>
        <family val="2"/>
      </rPr>
      <t>2ndRipple1</t>
    </r>
  </si>
  <si>
    <r>
      <t>V</t>
    </r>
    <r>
      <rPr>
        <vertAlign val="subscript"/>
        <sz val="10"/>
        <rFont val="Arial"/>
        <family val="2"/>
      </rPr>
      <t>2ndRipple2</t>
    </r>
  </si>
  <si>
    <t>Output Ripple Voltage 1</t>
  </si>
  <si>
    <t>Output Voltage 2</t>
  </si>
  <si>
    <t>Output Ripple Voltage 2</t>
  </si>
  <si>
    <r>
      <t>V</t>
    </r>
    <r>
      <rPr>
        <vertAlign val="subscript"/>
        <sz val="10"/>
        <rFont val="Arial"/>
        <family val="2"/>
      </rPr>
      <t>ACMin</t>
    </r>
  </si>
  <si>
    <r>
      <t>V</t>
    </r>
    <r>
      <rPr>
        <vertAlign val="subscript"/>
        <sz val="10"/>
        <rFont val="Arial"/>
        <family val="2"/>
      </rPr>
      <t>ACMax</t>
    </r>
  </si>
  <si>
    <r>
      <t>f</t>
    </r>
    <r>
      <rPr>
        <vertAlign val="subscript"/>
        <sz val="10"/>
        <rFont val="Arial"/>
        <family val="2"/>
      </rPr>
      <t>AC</t>
    </r>
  </si>
  <si>
    <r>
      <t>V</t>
    </r>
    <r>
      <rPr>
        <vertAlign val="subscript"/>
        <sz val="10"/>
        <rFont val="Arial"/>
        <family val="2"/>
      </rPr>
      <t>DCRipple</t>
    </r>
  </si>
  <si>
    <r>
      <t>V</t>
    </r>
    <r>
      <rPr>
        <vertAlign val="subscript"/>
        <sz val="10"/>
        <rFont val="Arial"/>
        <family val="2"/>
      </rPr>
      <t>Out1</t>
    </r>
  </si>
  <si>
    <r>
      <t>I</t>
    </r>
    <r>
      <rPr>
        <vertAlign val="subscript"/>
        <sz val="10"/>
        <rFont val="Arial"/>
        <family val="2"/>
      </rPr>
      <t>Out1</t>
    </r>
  </si>
  <si>
    <r>
      <t>V</t>
    </r>
    <r>
      <rPr>
        <vertAlign val="subscript"/>
        <sz val="10"/>
        <rFont val="Arial"/>
        <family val="2"/>
      </rPr>
      <t>FOut1</t>
    </r>
  </si>
  <si>
    <r>
      <t>V</t>
    </r>
    <r>
      <rPr>
        <vertAlign val="subscript"/>
        <sz val="10"/>
        <rFont val="Arial"/>
        <family val="2"/>
      </rPr>
      <t>OutRipple1</t>
    </r>
  </si>
  <si>
    <r>
      <t>P</t>
    </r>
    <r>
      <rPr>
        <vertAlign val="subscript"/>
        <sz val="10"/>
        <rFont val="Arial"/>
        <family val="2"/>
      </rPr>
      <t>Out1</t>
    </r>
  </si>
  <si>
    <r>
      <t>K</t>
    </r>
    <r>
      <rPr>
        <vertAlign val="subscript"/>
        <sz val="10"/>
        <rFont val="Arial"/>
        <family val="2"/>
      </rPr>
      <t>L1</t>
    </r>
  </si>
  <si>
    <r>
      <t>V</t>
    </r>
    <r>
      <rPr>
        <vertAlign val="subscript"/>
        <sz val="10"/>
        <rFont val="Arial"/>
        <family val="2"/>
      </rPr>
      <t>Out2</t>
    </r>
  </si>
  <si>
    <r>
      <t>I</t>
    </r>
    <r>
      <rPr>
        <vertAlign val="subscript"/>
        <sz val="10"/>
        <rFont val="Arial"/>
        <family val="2"/>
      </rPr>
      <t>Out2</t>
    </r>
  </si>
  <si>
    <r>
      <t>V</t>
    </r>
    <r>
      <rPr>
        <vertAlign val="subscript"/>
        <sz val="10"/>
        <rFont val="Arial"/>
        <family val="2"/>
      </rPr>
      <t>FOut2</t>
    </r>
  </si>
  <si>
    <r>
      <t>V</t>
    </r>
    <r>
      <rPr>
        <vertAlign val="subscript"/>
        <sz val="10"/>
        <rFont val="Arial"/>
        <family val="2"/>
      </rPr>
      <t>OutRipple2</t>
    </r>
  </si>
  <si>
    <r>
      <t>P</t>
    </r>
    <r>
      <rPr>
        <vertAlign val="subscript"/>
        <sz val="10"/>
        <rFont val="Arial"/>
        <family val="2"/>
      </rPr>
      <t>Out2</t>
    </r>
  </si>
  <si>
    <r>
      <t>K</t>
    </r>
    <r>
      <rPr>
        <vertAlign val="subscript"/>
        <sz val="10"/>
        <rFont val="Arial"/>
        <family val="2"/>
      </rPr>
      <t>L2</t>
    </r>
  </si>
  <si>
    <r>
      <t>V</t>
    </r>
    <r>
      <rPr>
        <vertAlign val="subscript"/>
        <sz val="10"/>
        <rFont val="Arial"/>
        <family val="2"/>
      </rPr>
      <t>F Vcc</t>
    </r>
  </si>
  <si>
    <r>
      <t>P</t>
    </r>
    <r>
      <rPr>
        <vertAlign val="subscript"/>
        <sz val="10"/>
        <rFont val="Arial"/>
        <family val="2"/>
      </rPr>
      <t>OutNom</t>
    </r>
  </si>
  <si>
    <r>
      <t>P</t>
    </r>
    <r>
      <rPr>
        <vertAlign val="subscript"/>
        <sz val="10"/>
        <rFont val="Arial"/>
        <family val="2"/>
      </rPr>
      <t>OutMax</t>
    </r>
  </si>
  <si>
    <r>
      <t>P</t>
    </r>
    <r>
      <rPr>
        <vertAlign val="subscript"/>
        <sz val="10"/>
        <rFont val="Arial"/>
        <family val="2"/>
      </rPr>
      <t>OutMin</t>
    </r>
  </si>
  <si>
    <r>
      <t>f</t>
    </r>
    <r>
      <rPr>
        <vertAlign val="subscript"/>
        <sz val="10"/>
        <rFont val="Arial"/>
        <family val="2"/>
      </rPr>
      <t>S</t>
    </r>
  </si>
  <si>
    <r>
      <t>V</t>
    </r>
    <r>
      <rPr>
        <vertAlign val="subscript"/>
        <sz val="10"/>
        <rFont val="Arial"/>
        <family val="2"/>
      </rPr>
      <t>DSMax</t>
    </r>
  </si>
  <si>
    <r>
      <t>T</t>
    </r>
    <r>
      <rPr>
        <vertAlign val="subscript"/>
        <sz val="10"/>
        <rFont val="Arial"/>
        <family val="2"/>
      </rPr>
      <t>amax</t>
    </r>
  </si>
  <si>
    <r>
      <t>Peak voltage at V</t>
    </r>
    <r>
      <rPr>
        <vertAlign val="subscript"/>
        <sz val="10"/>
        <rFont val="Arial"/>
        <family val="2"/>
      </rPr>
      <t>ACMax</t>
    </r>
  </si>
  <si>
    <r>
      <t>Peak voltage at V</t>
    </r>
    <r>
      <rPr>
        <vertAlign val="subscript"/>
        <sz val="10"/>
        <rFont val="Arial"/>
        <family val="2"/>
      </rPr>
      <t>ACMin</t>
    </r>
  </si>
  <si>
    <r>
      <t>C</t>
    </r>
    <r>
      <rPr>
        <vertAlign val="subscript"/>
        <sz val="10"/>
        <rFont val="Arial"/>
        <family val="2"/>
      </rPr>
      <t>in</t>
    </r>
  </si>
  <si>
    <r>
      <t>V</t>
    </r>
    <r>
      <rPr>
        <vertAlign val="subscript"/>
        <sz val="10"/>
        <rFont val="Arial"/>
        <family val="2"/>
      </rPr>
      <t>RSET</t>
    </r>
  </si>
  <si>
    <r>
      <t>K</t>
    </r>
    <r>
      <rPr>
        <vertAlign val="subscript"/>
        <sz val="10"/>
        <rFont val="Arial"/>
        <family val="2"/>
      </rPr>
      <t>RF</t>
    </r>
  </si>
  <si>
    <r>
      <t>Calculated V</t>
    </r>
    <r>
      <rPr>
        <vertAlign val="subscript"/>
        <sz val="10"/>
        <rFont val="Arial"/>
        <family val="2"/>
      </rPr>
      <t>CC</t>
    </r>
    <r>
      <rPr>
        <sz val="10"/>
        <rFont val="Arial"/>
        <family val="2"/>
      </rPr>
      <t xml:space="preserve"> voltage</t>
    </r>
  </si>
  <si>
    <r>
      <t>f</t>
    </r>
    <r>
      <rPr>
        <vertAlign val="subscript"/>
        <sz val="10"/>
        <rFont val="Arial"/>
        <family val="2"/>
      </rPr>
      <t>Cu</t>
    </r>
  </si>
  <si>
    <r>
      <t>AF</t>
    </r>
    <r>
      <rPr>
        <vertAlign val="subscript"/>
        <sz val="10"/>
        <rFont val="Arial"/>
        <family val="2"/>
      </rPr>
      <t>NP</t>
    </r>
  </si>
  <si>
    <r>
      <t>AF</t>
    </r>
    <r>
      <rPr>
        <vertAlign val="subscript"/>
        <sz val="10"/>
        <rFont val="Arial"/>
        <family val="2"/>
      </rPr>
      <t>NS1</t>
    </r>
  </si>
  <si>
    <r>
      <t>AF</t>
    </r>
    <r>
      <rPr>
        <vertAlign val="subscript"/>
        <sz val="10"/>
        <rFont val="Arial"/>
        <family val="2"/>
      </rPr>
      <t>NS2</t>
    </r>
  </si>
  <si>
    <r>
      <t>AF</t>
    </r>
    <r>
      <rPr>
        <vertAlign val="subscript"/>
        <sz val="10"/>
        <rFont val="Arial"/>
        <family val="2"/>
      </rPr>
      <t>NVcc</t>
    </r>
  </si>
  <si>
    <r>
      <t>AWG</t>
    </r>
    <r>
      <rPr>
        <vertAlign val="subscript"/>
        <sz val="10"/>
        <rFont val="Arial"/>
        <family val="2"/>
      </rPr>
      <t>P</t>
    </r>
  </si>
  <si>
    <r>
      <t>nw</t>
    </r>
    <r>
      <rPr>
        <vertAlign val="subscript"/>
        <sz val="10"/>
        <rFont val="Arial"/>
        <family val="2"/>
      </rPr>
      <t>P</t>
    </r>
  </si>
  <si>
    <r>
      <t>INS</t>
    </r>
    <r>
      <rPr>
        <vertAlign val="subscript"/>
        <sz val="10"/>
        <rFont val="Arial"/>
        <family val="2"/>
      </rPr>
      <t>P</t>
    </r>
  </si>
  <si>
    <r>
      <t>AWG</t>
    </r>
    <r>
      <rPr>
        <vertAlign val="subscript"/>
        <sz val="10"/>
        <rFont val="Arial"/>
        <family val="2"/>
      </rPr>
      <t>S1</t>
    </r>
  </si>
  <si>
    <r>
      <t>nw</t>
    </r>
    <r>
      <rPr>
        <vertAlign val="subscript"/>
        <sz val="10"/>
        <rFont val="Arial"/>
        <family val="2"/>
      </rPr>
      <t>S1</t>
    </r>
  </si>
  <si>
    <r>
      <t>INS</t>
    </r>
    <r>
      <rPr>
        <vertAlign val="subscript"/>
        <sz val="10"/>
        <rFont val="Arial"/>
        <family val="2"/>
      </rPr>
      <t>S1</t>
    </r>
  </si>
  <si>
    <r>
      <t>AWG</t>
    </r>
    <r>
      <rPr>
        <vertAlign val="subscript"/>
        <sz val="10"/>
        <rFont val="Arial"/>
        <family val="2"/>
      </rPr>
      <t>S2</t>
    </r>
  </si>
  <si>
    <r>
      <t>nw</t>
    </r>
    <r>
      <rPr>
        <vertAlign val="subscript"/>
        <sz val="10"/>
        <rFont val="Arial"/>
        <family val="2"/>
      </rPr>
      <t>S2</t>
    </r>
  </si>
  <si>
    <r>
      <t>INS</t>
    </r>
    <r>
      <rPr>
        <vertAlign val="subscript"/>
        <sz val="10"/>
        <rFont val="Arial"/>
        <family val="2"/>
      </rPr>
      <t>S2</t>
    </r>
  </si>
  <si>
    <r>
      <t>L</t>
    </r>
    <r>
      <rPr>
        <vertAlign val="subscript"/>
        <sz val="10"/>
        <rFont val="Arial"/>
        <family val="2"/>
      </rPr>
      <t>LK%</t>
    </r>
  </si>
  <si>
    <r>
      <t>C</t>
    </r>
    <r>
      <rPr>
        <vertAlign val="subscript"/>
        <sz val="10"/>
        <rFont val="Arial"/>
        <family val="2"/>
      </rPr>
      <t>clamp</t>
    </r>
  </si>
  <si>
    <r>
      <t>V</t>
    </r>
    <r>
      <rPr>
        <vertAlign val="subscript"/>
        <sz val="10"/>
        <rFont val="Arial"/>
        <family val="2"/>
      </rPr>
      <t>CS_N</t>
    </r>
  </si>
  <si>
    <r>
      <rPr>
        <sz val="10"/>
        <rFont val="Calibri"/>
        <family val="2"/>
      </rPr>
      <t>Δ</t>
    </r>
    <r>
      <rPr>
        <sz val="10"/>
        <rFont val="Arial"/>
        <family val="2"/>
      </rPr>
      <t>V</t>
    </r>
    <r>
      <rPr>
        <vertAlign val="subscript"/>
        <sz val="10"/>
        <rFont val="Arial"/>
        <family val="2"/>
      </rPr>
      <t>Out1</t>
    </r>
  </si>
  <si>
    <r>
      <t>n</t>
    </r>
    <r>
      <rPr>
        <vertAlign val="subscript"/>
        <sz val="10"/>
        <rFont val="Arial"/>
        <family val="2"/>
      </rPr>
      <t>cp1</t>
    </r>
  </si>
  <si>
    <r>
      <t>C</t>
    </r>
    <r>
      <rPr>
        <vertAlign val="subscript"/>
        <sz val="10"/>
        <rFont val="Arial"/>
        <family val="2"/>
      </rPr>
      <t>Out1</t>
    </r>
  </si>
  <si>
    <r>
      <t>R</t>
    </r>
    <r>
      <rPr>
        <vertAlign val="subscript"/>
        <sz val="10"/>
        <rFont val="Arial"/>
        <family val="2"/>
      </rPr>
      <t>ESR1</t>
    </r>
    <r>
      <rPr>
        <sz val="11"/>
        <color theme="1"/>
        <rFont val="Calibri"/>
        <family val="2"/>
        <scheme val="minor"/>
      </rPr>
      <t/>
    </r>
  </si>
  <si>
    <r>
      <t>L</t>
    </r>
    <r>
      <rPr>
        <vertAlign val="subscript"/>
        <sz val="10"/>
        <rFont val="Arial"/>
        <family val="2"/>
      </rPr>
      <t>out1</t>
    </r>
  </si>
  <si>
    <r>
      <t>C</t>
    </r>
    <r>
      <rPr>
        <vertAlign val="subscript"/>
        <sz val="10"/>
        <rFont val="Arial"/>
        <family val="2"/>
      </rPr>
      <t>LC1</t>
    </r>
  </si>
  <si>
    <r>
      <t>n</t>
    </r>
    <r>
      <rPr>
        <vertAlign val="subscript"/>
        <sz val="10"/>
        <rFont val="Arial"/>
        <family val="2"/>
      </rPr>
      <t>cp2</t>
    </r>
  </si>
  <si>
    <r>
      <t>C</t>
    </r>
    <r>
      <rPr>
        <vertAlign val="subscript"/>
        <sz val="10"/>
        <rFont val="Arial"/>
        <family val="2"/>
      </rPr>
      <t>Out2</t>
    </r>
  </si>
  <si>
    <r>
      <t>R</t>
    </r>
    <r>
      <rPr>
        <vertAlign val="subscript"/>
        <sz val="10"/>
        <rFont val="Arial"/>
        <family val="2"/>
      </rPr>
      <t>ESR2</t>
    </r>
  </si>
  <si>
    <r>
      <t>L</t>
    </r>
    <r>
      <rPr>
        <vertAlign val="subscript"/>
        <sz val="10"/>
        <rFont val="Arial"/>
        <family val="2"/>
      </rPr>
      <t>out</t>
    </r>
  </si>
  <si>
    <r>
      <t>C</t>
    </r>
    <r>
      <rPr>
        <vertAlign val="subscript"/>
        <sz val="10"/>
        <rFont val="Arial"/>
        <family val="2"/>
      </rPr>
      <t>LC2</t>
    </r>
  </si>
  <si>
    <r>
      <t>Calculated V</t>
    </r>
    <r>
      <rPr>
        <vertAlign val="subscript"/>
        <sz val="10"/>
        <rFont val="Arial"/>
        <family val="2"/>
      </rPr>
      <t>CC</t>
    </r>
    <r>
      <rPr>
        <sz val="10"/>
        <rFont val="Arial"/>
        <family val="2"/>
      </rPr>
      <t xml:space="preserve"> capacitor</t>
    </r>
  </si>
  <si>
    <r>
      <t>V</t>
    </r>
    <r>
      <rPr>
        <vertAlign val="subscript"/>
        <sz val="10"/>
        <rFont val="Arial"/>
        <family val="2"/>
      </rPr>
      <t>FBR</t>
    </r>
  </si>
  <si>
    <r>
      <t>R</t>
    </r>
    <r>
      <rPr>
        <vertAlign val="subscript"/>
        <sz val="12"/>
        <rFont val="Arial"/>
        <family val="2"/>
      </rPr>
      <t>DSON</t>
    </r>
    <r>
      <rPr>
        <sz val="10"/>
        <rFont val="Arial"/>
        <family val="2"/>
      </rPr>
      <t xml:space="preserve"> from datasheet </t>
    </r>
  </si>
  <si>
    <r>
      <t>R</t>
    </r>
    <r>
      <rPr>
        <vertAlign val="subscript"/>
        <sz val="10"/>
        <rFont val="Arial"/>
        <family val="2"/>
      </rPr>
      <t>DSON</t>
    </r>
    <r>
      <rPr>
        <sz val="10"/>
        <rFont val="Arial"/>
        <family val="2"/>
      </rPr>
      <t xml:space="preserve"> @ 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=125°C</t>
    </r>
  </si>
  <si>
    <r>
      <t>C</t>
    </r>
    <r>
      <rPr>
        <vertAlign val="subscript"/>
        <sz val="10"/>
        <rFont val="Arial"/>
        <family val="2"/>
      </rPr>
      <t>DS</t>
    </r>
  </si>
  <si>
    <r>
      <t>R</t>
    </r>
    <r>
      <rPr>
        <vertAlign val="subscript"/>
        <sz val="12"/>
        <rFont val="Arial"/>
        <family val="2"/>
      </rPr>
      <t>FB</t>
    </r>
    <r>
      <rPr>
        <sz val="10"/>
        <rFont val="Arial"/>
        <family val="2"/>
      </rPr>
      <t xml:space="preserve"> from datasheet </t>
    </r>
  </si>
  <si>
    <r>
      <t>A</t>
    </r>
    <r>
      <rPr>
        <vertAlign val="subscript"/>
        <sz val="10"/>
        <rFont val="Arial"/>
        <family val="2"/>
      </rPr>
      <t>V</t>
    </r>
  </si>
  <si>
    <t>Number of Primary Copper Wire in Parallel</t>
  </si>
  <si>
    <t>Margin</t>
  </si>
  <si>
    <r>
      <t>I</t>
    </r>
    <r>
      <rPr>
        <vertAlign val="subscript"/>
        <sz val="10"/>
        <rFont val="Arial"/>
        <family val="2"/>
      </rPr>
      <t>S 1RMS</t>
    </r>
  </si>
  <si>
    <r>
      <t>t</t>
    </r>
    <r>
      <rPr>
        <vertAlign val="subscript"/>
        <sz val="10"/>
        <rFont val="Arial"/>
        <family val="2"/>
      </rPr>
      <t>StartUp</t>
    </r>
  </si>
  <si>
    <r>
      <t>Secondary 1 Turns(N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2"/>
      </rPr>
      <t>)</t>
    </r>
  </si>
  <si>
    <t>Secondary 1 Copper Wire Size</t>
  </si>
  <si>
    <t>Number of Secondary 1 Copper Wire in Parallel</t>
  </si>
  <si>
    <r>
      <t>Secondary 2 Turns(N</t>
    </r>
    <r>
      <rPr>
        <vertAlign val="subscript"/>
        <sz val="10"/>
        <rFont val="Arial"/>
        <family val="2"/>
      </rPr>
      <t>S2</t>
    </r>
    <r>
      <rPr>
        <sz val="10"/>
        <rFont val="Arial"/>
        <family val="2"/>
      </rPr>
      <t>)</t>
    </r>
  </si>
  <si>
    <t>Secondary 2 Copper Wire Size</t>
  </si>
  <si>
    <t>Number of Secondary 2 Copper Wire in Parallel</t>
  </si>
  <si>
    <t>Secondary 1 Layers</t>
  </si>
  <si>
    <t>Secondary 2 Layers</t>
  </si>
  <si>
    <t>Secondary 1 Output Capacitor in Parallel</t>
  </si>
  <si>
    <t>Secondary 2 Output Capacitor in Parallel</t>
  </si>
  <si>
    <t>Optocoupler bias resistor</t>
  </si>
  <si>
    <t>TL431 bias resistor</t>
  </si>
  <si>
    <t>Regulation components (non-isolated)</t>
  </si>
  <si>
    <t>Calculated voltage divider RO2</t>
  </si>
  <si>
    <t>Calculated voltage divider RO3</t>
  </si>
  <si>
    <t>Maximum DC input voltage for CCM operation</t>
  </si>
  <si>
    <t>Primary winding copper resistance</t>
  </si>
  <si>
    <t>Secondary 1 winding copper resistance</t>
  </si>
  <si>
    <t>Secondary 2 winding copper resistance</t>
  </si>
  <si>
    <t>Primary winding copper loss</t>
  </si>
  <si>
    <t>Secondary 1 winding copper loss</t>
  </si>
  <si>
    <t>Secondary 2 winding copper loss</t>
  </si>
  <si>
    <t>Total transformer copper loss</t>
  </si>
  <si>
    <t>Secondary 1 diode loss</t>
  </si>
  <si>
    <t>Secondary 2 diode loss</t>
  </si>
  <si>
    <t>RCD clamper loss</t>
  </si>
  <si>
    <t>Current sense resistor loss</t>
  </si>
  <si>
    <t>Switch on loss at minimum AC input voltage</t>
  </si>
  <si>
    <t>Conduction loss at minimum AC input voltage</t>
  </si>
  <si>
    <t>Total MOSFET loss at minimum AC input voltage</t>
  </si>
  <si>
    <t>Switch on loss at maximum AC input voltage</t>
  </si>
  <si>
    <t>Conduction loss at maximum AC input voltage</t>
  </si>
  <si>
    <t>Total MOSFET loss at maximum AC input voltage</t>
  </si>
  <si>
    <t>Total MOSFET loss (from minimum or maximum AC)</t>
  </si>
  <si>
    <t>Controller loss</t>
  </si>
  <si>
    <t>Total power loss</t>
  </si>
  <si>
    <t>Post calculated efficiency</t>
  </si>
  <si>
    <t>Temperature rise</t>
  </si>
  <si>
    <r>
      <t>Junction temperature at T</t>
    </r>
    <r>
      <rPr>
        <vertAlign val="subscript"/>
        <sz val="10"/>
        <rFont val="Arial"/>
        <family val="2"/>
      </rPr>
      <t>amax</t>
    </r>
  </si>
  <si>
    <t>Diode reverse voltage</t>
  </si>
  <si>
    <t>Diode RMS current</t>
  </si>
  <si>
    <t>Calculated voltage divider resistor</t>
  </si>
  <si>
    <t>Selec voltage divider resistor value</t>
  </si>
  <si>
    <r>
      <t>R26</t>
    </r>
    <r>
      <rPr>
        <vertAlign val="subscript"/>
        <sz val="10"/>
        <rFont val="Arial"/>
        <family val="2"/>
      </rPr>
      <t>Cal</t>
    </r>
  </si>
  <si>
    <r>
      <t>R25</t>
    </r>
    <r>
      <rPr>
        <vertAlign val="subscript"/>
        <sz val="10"/>
        <rFont val="Arial"/>
        <family val="2"/>
      </rPr>
      <t>Cal</t>
    </r>
  </si>
  <si>
    <r>
      <t>R25A</t>
    </r>
    <r>
      <rPr>
        <vertAlign val="subscript"/>
        <sz val="10"/>
        <rFont val="Arial"/>
        <family val="2"/>
      </rPr>
      <t>Cal</t>
    </r>
  </si>
  <si>
    <t>Voltage divider (Vout1 sense)</t>
  </si>
  <si>
    <t>Voltage divider (Vout2 sense)</t>
  </si>
  <si>
    <r>
      <t>Weighted regulation factor of V</t>
    </r>
    <r>
      <rPr>
        <vertAlign val="subscript"/>
        <sz val="10"/>
        <rFont val="Arial"/>
        <family val="2"/>
      </rPr>
      <t>Out1</t>
    </r>
  </si>
  <si>
    <t>Current for voltage divider resistor R26</t>
  </si>
  <si>
    <t>Minimum current for TL431</t>
  </si>
  <si>
    <t>Optocoupler and TL431 bias</t>
  </si>
  <si>
    <t>Calculated minimum optocoupler bias resistance</t>
  </si>
  <si>
    <t>Select optocoupler bias resistor</t>
  </si>
  <si>
    <r>
      <t>FB pull up reference voltage V</t>
    </r>
    <r>
      <rPr>
        <vertAlign val="subscript"/>
        <sz val="12"/>
        <rFont val="Arial"/>
        <family val="2"/>
      </rPr>
      <t>REF</t>
    </r>
    <r>
      <rPr>
        <sz val="10"/>
        <rFont val="Arial"/>
        <family val="2"/>
      </rPr>
      <t xml:space="preserve"> from datasheet </t>
    </r>
  </si>
  <si>
    <r>
      <t>V</t>
    </r>
    <r>
      <rPr>
        <vertAlign val="subscript"/>
        <sz val="10"/>
        <rFont val="Arial"/>
        <family val="2"/>
      </rPr>
      <t>FB_OLP</t>
    </r>
  </si>
  <si>
    <r>
      <t>V</t>
    </r>
    <r>
      <rPr>
        <vertAlign val="subscript"/>
        <sz val="12"/>
        <rFont val="Arial"/>
        <family val="2"/>
      </rPr>
      <t>FB_OLP</t>
    </r>
    <r>
      <rPr>
        <sz val="10"/>
        <rFont val="Arial"/>
        <family val="2"/>
      </rPr>
      <t xml:space="preserve"> from datasheet</t>
    </r>
  </si>
  <si>
    <t>Calculated maximum TL431 bias resistance</t>
  </si>
  <si>
    <t>selected TL431 bias resistor</t>
  </si>
  <si>
    <t>Transient impedance</t>
  </si>
  <si>
    <t>Feedback transfer characteristic</t>
  </si>
  <si>
    <t>Gain of feedback transfer characteristic</t>
  </si>
  <si>
    <t>Voltage divider transfer characteristic</t>
  </si>
  <si>
    <t>Gain of voltage divider transfer characteristic</t>
  </si>
  <si>
    <t>Resistance at maximum load pole</t>
  </si>
  <si>
    <t>Resistance at minimum load pole</t>
  </si>
  <si>
    <t>Poles of power stage at maximum load pole</t>
  </si>
  <si>
    <t>Poles of power stage at minimum load pole</t>
  </si>
  <si>
    <t>Zero frequency of the compensation network</t>
  </si>
  <si>
    <t>Zero dB crossover frequency</t>
  </si>
  <si>
    <t>Power stage at crossover frequency</t>
  </si>
  <si>
    <t>Gain of power stage at crossover frequency</t>
  </si>
  <si>
    <t>Gain of the regulation loop at fg</t>
  </si>
  <si>
    <r>
      <t>Gs(</t>
    </r>
    <r>
      <rPr>
        <sz val="10"/>
        <rFont val="Calibri"/>
        <family val="2"/>
      </rPr>
      <t>ω</t>
    </r>
    <r>
      <rPr>
        <sz val="10"/>
        <rFont val="Arial"/>
        <family val="2"/>
      </rPr>
      <t>)</t>
    </r>
  </si>
  <si>
    <t>Gr(ω)</t>
  </si>
  <si>
    <t>Separated components of the regulator</t>
  </si>
  <si>
    <t>Calculated resistance value of compensation network</t>
  </si>
  <si>
    <t>Select resistor value of compesation network</t>
  </si>
  <si>
    <t>Select capacitor value of compesation network</t>
  </si>
  <si>
    <t>Calculated capacitance value of compensation network</t>
  </si>
  <si>
    <r>
      <t>Input, output, CoolSET</t>
    </r>
    <r>
      <rPr>
        <b/>
        <sz val="10"/>
        <rFont val="Calibri"/>
        <family val="2"/>
      </rPr>
      <t>™</t>
    </r>
    <r>
      <rPr>
        <b/>
        <sz val="10"/>
        <rFont val="Arial"/>
        <family val="2"/>
      </rPr>
      <t xml:space="preserve"> Specs</t>
    </r>
  </si>
  <si>
    <r>
      <t>CoolSET</t>
    </r>
    <r>
      <rPr>
        <b/>
        <sz val="10"/>
        <rFont val="Calibri"/>
        <family val="2"/>
      </rPr>
      <t>™/MOSFET temperature</t>
    </r>
  </si>
  <si>
    <r>
      <t>Controller/CoolSET</t>
    </r>
    <r>
      <rPr>
        <b/>
        <sz val="10"/>
        <rFont val="Calibri"/>
        <family val="2"/>
      </rPr>
      <t>™</t>
    </r>
  </si>
  <si>
    <t>[kΩ]</t>
  </si>
  <si>
    <t>[Ω]</t>
  </si>
  <si>
    <t>[mΩ]</t>
  </si>
  <si>
    <t>Compensation network resistor</t>
  </si>
  <si>
    <t>Compensation network capacitor</t>
  </si>
  <si>
    <t>Final Design</t>
  </si>
  <si>
    <t>Calculated minimum output capacitor</t>
  </si>
  <si>
    <t>Select component values based on standard values available</t>
  </si>
  <si>
    <t>Equation numbers are according to the Design Guide</t>
  </si>
  <si>
    <t>Designator</t>
  </si>
  <si>
    <t>Z1</t>
  </si>
  <si>
    <t>ERZE07A511</t>
  </si>
  <si>
    <t>CX1</t>
  </si>
  <si>
    <t>C1</t>
  </si>
  <si>
    <t>C2</t>
  </si>
  <si>
    <t xml:space="preserve">C3 </t>
  </si>
  <si>
    <t>C4</t>
  </si>
  <si>
    <t>C7</t>
  </si>
  <si>
    <t>C102</t>
  </si>
  <si>
    <t>C103</t>
  </si>
  <si>
    <t>ZD1</t>
  </si>
  <si>
    <t>D1</t>
  </si>
  <si>
    <t>D2</t>
  </si>
  <si>
    <t>D151</t>
  </si>
  <si>
    <t>D101</t>
  </si>
  <si>
    <t>IC1</t>
  </si>
  <si>
    <t>L1</t>
  </si>
  <si>
    <t>R1A, R1B</t>
  </si>
  <si>
    <t>R2A, R2B, R2C</t>
  </si>
  <si>
    <t>R4</t>
  </si>
  <si>
    <t xml:space="preserve">R5 </t>
  </si>
  <si>
    <t>R6</t>
  </si>
  <si>
    <t>R8A, R8B</t>
  </si>
  <si>
    <t>R9</t>
  </si>
  <si>
    <t>R154</t>
  </si>
  <si>
    <t>R103</t>
  </si>
  <si>
    <t>R104</t>
  </si>
  <si>
    <t>R153</t>
  </si>
  <si>
    <t>R102</t>
  </si>
  <si>
    <t>R152</t>
  </si>
  <si>
    <t xml:space="preserve">T1 </t>
  </si>
  <si>
    <t>CN1</t>
  </si>
  <si>
    <t>connector</t>
  </si>
  <si>
    <t>CN2,CN3</t>
  </si>
  <si>
    <t>JP1-JP3</t>
  </si>
  <si>
    <t>Jumper</t>
  </si>
  <si>
    <t>PCB</t>
  </si>
  <si>
    <t>110mmX66mm (LXW), single layer, 2Oz., FR-4</t>
  </si>
  <si>
    <t>Value/ Part Name</t>
  </si>
  <si>
    <t>Watt</t>
  </si>
  <si>
    <t>C154</t>
  </si>
  <si>
    <t>C5</t>
  </si>
  <si>
    <t>C104</t>
  </si>
  <si>
    <t>C6</t>
  </si>
  <si>
    <t>C152</t>
  </si>
  <si>
    <t>C153</t>
  </si>
  <si>
    <t>L151</t>
  </si>
  <si>
    <t>L101</t>
  </si>
  <si>
    <r>
      <t>[A</t>
    </r>
    <r>
      <rPr>
        <b/>
        <vertAlign val="subscript"/>
        <sz val="8"/>
        <rFont val="Arial"/>
        <family val="2"/>
      </rPr>
      <t>RMS</t>
    </r>
    <r>
      <rPr>
        <b/>
        <sz val="8"/>
        <rFont val="Arial"/>
        <family val="2"/>
      </rPr>
      <t>]</t>
    </r>
  </si>
  <si>
    <t>uF</t>
  </si>
  <si>
    <t>Voltage</t>
  </si>
  <si>
    <t>nF</t>
  </si>
  <si>
    <t>630V</t>
  </si>
  <si>
    <t>pF</t>
  </si>
  <si>
    <t>10V</t>
  </si>
  <si>
    <t>25V</t>
  </si>
  <si>
    <t>22V</t>
  </si>
  <si>
    <t>500mW</t>
  </si>
  <si>
    <t>800V</t>
  </si>
  <si>
    <t>1A</t>
  </si>
  <si>
    <t>0.2A</t>
  </si>
  <si>
    <t>Notes:</t>
  </si>
  <si>
    <t>Voltage/current rating does not include design margin, voltage spikes and transient currents.</t>
  </si>
  <si>
    <t>mH</t>
  </si>
  <si>
    <r>
      <t xml:space="preserve">Attention: Voltage/current rating (in </t>
    </r>
    <r>
      <rPr>
        <b/>
        <sz val="10"/>
        <color rgb="FFFF0000"/>
        <rFont val="Arial"/>
        <family val="2"/>
      </rPr>
      <t>RED</t>
    </r>
    <r>
      <rPr>
        <sz val="10"/>
        <rFont val="Arial"/>
        <family val="2"/>
      </rPr>
      <t xml:space="preserve"> font) does not include design margin, voltage spikes and transient currents.</t>
    </r>
  </si>
  <si>
    <t>uH</t>
  </si>
  <si>
    <t>MΩ</t>
  </si>
  <si>
    <t>kΩ</t>
  </si>
  <si>
    <t>Ω</t>
  </si>
  <si>
    <t>250V</t>
  </si>
  <si>
    <t>200V</t>
  </si>
  <si>
    <t>R101</t>
  </si>
  <si>
    <t>R151</t>
  </si>
  <si>
    <t>C101</t>
  </si>
  <si>
    <t>C151</t>
  </si>
  <si>
    <t>ZD101</t>
  </si>
  <si>
    <t>ZD151</t>
  </si>
  <si>
    <t>R10</t>
  </si>
  <si>
    <t>CX2</t>
  </si>
  <si>
    <t>nc</t>
  </si>
  <si>
    <t>Select input capacitor (C1)</t>
  </si>
  <si>
    <r>
      <t>Select clamping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capacitor value (C2)</t>
    </r>
  </si>
  <si>
    <r>
      <t>Select clamping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resistor value (R4)</t>
    </r>
  </si>
  <si>
    <r>
      <t>R</t>
    </r>
    <r>
      <rPr>
        <vertAlign val="subscript"/>
        <sz val="10"/>
        <rFont val="Arial"/>
        <family val="2"/>
      </rPr>
      <t>sense</t>
    </r>
  </si>
  <si>
    <t>Calculated current sense resistor (R8A, R8B)</t>
  </si>
  <si>
    <t>Select output capacitor value (C152)</t>
  </si>
  <si>
    <t>Select LC filter inductor value (L151)</t>
  </si>
  <si>
    <t>Select LC filter capacitor value (C153)</t>
  </si>
  <si>
    <t>Auxiliary diode reverse voltage (D2)</t>
  </si>
  <si>
    <t>Select Vcc capacitor (C3)</t>
  </si>
  <si>
    <t>Select voltage divider RO1 (R11)</t>
  </si>
  <si>
    <t>Select voltage divider RO2 (R153)</t>
  </si>
  <si>
    <t>Select voltage divider RO3 (R103)</t>
  </si>
  <si>
    <t>Transformer Peak Current</t>
  </si>
  <si>
    <t>Reflected Voltage</t>
  </si>
  <si>
    <t>Input Capacitor (C1)</t>
  </si>
  <si>
    <t>Secondary 1 Output Capacitor (C152)</t>
  </si>
  <si>
    <t>Secondary 1 LC Filter Inductor (L151)</t>
  </si>
  <si>
    <t>Secondary 1 LC Filter Capacitor (C153)</t>
  </si>
  <si>
    <t>Secondary 2 Output Capacitor (C102)</t>
  </si>
  <si>
    <t>Secondary 2 LC Filter Inductor (L101)</t>
  </si>
  <si>
    <t>Secondary 2 LC Filter Capacitor (C103)</t>
  </si>
  <si>
    <t>VCC Capacitor (C3)</t>
  </si>
  <si>
    <t>Sense Resistor (R8A, R8B)</t>
  </si>
  <si>
    <t>Clamping Resistor (R4)</t>
  </si>
  <si>
    <t>Clamping Capacitor (C2)</t>
  </si>
  <si>
    <t>Voltage divider (R11)</t>
  </si>
  <si>
    <t>Voltage divider (Vout1 sense) (R153)</t>
  </si>
  <si>
    <t>Voltage divider (Vout2 sense) (R103)</t>
  </si>
  <si>
    <t>Value</t>
  </si>
  <si>
    <t>Eq. #</t>
  </si>
  <si>
    <t>Parameter</t>
  </si>
  <si>
    <t>Description</t>
  </si>
  <si>
    <t>Power factor</t>
  </si>
  <si>
    <r>
      <t>cos</t>
    </r>
    <r>
      <rPr>
        <sz val="10"/>
        <rFont val="Calibri"/>
        <family val="2"/>
      </rPr>
      <t>ϕ</t>
    </r>
  </si>
  <si>
    <t>Duty cycle prime</t>
  </si>
  <si>
    <t>Calculated wire copper cross sectional area</t>
  </si>
  <si>
    <t>Calculated maximum wire size</t>
  </si>
  <si>
    <t>Select wire size</t>
  </si>
  <si>
    <t>Select number of parallel wire</t>
  </si>
  <si>
    <t>Wire copper diameter</t>
  </si>
  <si>
    <t>Wire copper cross sectional area</t>
  </si>
  <si>
    <t>Peak current</t>
  </si>
  <si>
    <t>RMS current</t>
  </si>
  <si>
    <t>Wire current density</t>
  </si>
  <si>
    <t>Turns per layer</t>
  </si>
  <si>
    <t>Number of layers</t>
  </si>
  <si>
    <r>
      <t>R</t>
    </r>
    <r>
      <rPr>
        <vertAlign val="subscript"/>
        <sz val="10"/>
        <rFont val="Arial"/>
        <family val="2"/>
      </rPr>
      <t>clampCal</t>
    </r>
  </si>
  <si>
    <t>Second stage ripple voltage</t>
  </si>
  <si>
    <r>
      <t>nc</t>
    </r>
    <r>
      <rPr>
        <vertAlign val="subscript"/>
        <sz val="10"/>
        <rFont val="Arial"/>
        <family val="2"/>
      </rPr>
      <t>COut2</t>
    </r>
  </si>
  <si>
    <r>
      <t>nc</t>
    </r>
    <r>
      <rPr>
        <vertAlign val="subscript"/>
        <sz val="10"/>
        <rFont val="Arial"/>
        <family val="2"/>
      </rPr>
      <t>COut1</t>
    </r>
  </si>
  <si>
    <r>
      <t>t</t>
    </r>
    <r>
      <rPr>
        <vertAlign val="subscript"/>
        <sz val="10"/>
        <rFont val="Arial"/>
        <family val="2"/>
      </rPr>
      <t>ss</t>
    </r>
  </si>
  <si>
    <t>VCC on threshold</t>
  </si>
  <si>
    <t>VCC off threshold</t>
  </si>
  <si>
    <r>
      <t>V</t>
    </r>
    <r>
      <rPr>
        <vertAlign val="subscript"/>
        <sz val="10"/>
        <rFont val="Arial"/>
        <family val="2"/>
      </rPr>
      <t>VCC_ON</t>
    </r>
  </si>
  <si>
    <r>
      <t>V</t>
    </r>
    <r>
      <rPr>
        <vertAlign val="subscript"/>
        <sz val="10"/>
        <rFont val="Arial"/>
        <family val="2"/>
      </rPr>
      <t>VCC_OFF</t>
    </r>
  </si>
  <si>
    <r>
      <t>I</t>
    </r>
    <r>
      <rPr>
        <vertAlign val="subscript"/>
        <sz val="10"/>
        <rFont val="Arial"/>
        <family val="2"/>
      </rPr>
      <t>VCC_Charge1</t>
    </r>
    <r>
      <rPr>
        <sz val="10"/>
        <rFont val="Arial"/>
        <family val="2"/>
      </rPr>
      <t xml:space="preserve"> from datasheet</t>
    </r>
  </si>
  <si>
    <r>
      <t>I</t>
    </r>
    <r>
      <rPr>
        <vertAlign val="subscript"/>
        <sz val="10"/>
        <rFont val="Arial"/>
        <family val="2"/>
      </rPr>
      <t>VCC_Charge1</t>
    </r>
  </si>
  <si>
    <r>
      <t>V</t>
    </r>
    <r>
      <rPr>
        <vertAlign val="subscript"/>
        <sz val="10"/>
        <rFont val="Arial"/>
        <family val="2"/>
      </rPr>
      <t>VCC_SCP</t>
    </r>
  </si>
  <si>
    <t>VCC short threshold from datasheet</t>
  </si>
  <si>
    <r>
      <t>C</t>
    </r>
    <r>
      <rPr>
        <vertAlign val="subscript"/>
        <sz val="10"/>
        <rFont val="Arial"/>
        <family val="2"/>
      </rPr>
      <t>o(er)</t>
    </r>
  </si>
  <si>
    <t>External drain to source capacitance</t>
  </si>
  <si>
    <r>
      <t>I</t>
    </r>
    <r>
      <rPr>
        <vertAlign val="subscript"/>
        <sz val="10"/>
        <rFont val="Arial"/>
        <family val="2"/>
      </rPr>
      <t>VCC_Normal</t>
    </r>
  </si>
  <si>
    <r>
      <t>P</t>
    </r>
    <r>
      <rPr>
        <vertAlign val="subscript"/>
        <sz val="10"/>
        <rFont val="Arial"/>
        <family val="2"/>
      </rPr>
      <t>Ctrl</t>
    </r>
  </si>
  <si>
    <r>
      <t>P</t>
    </r>
    <r>
      <rPr>
        <vertAlign val="subscript"/>
        <sz val="10"/>
        <rFont val="Arial"/>
        <family val="2"/>
      </rPr>
      <t>MOS</t>
    </r>
  </si>
  <si>
    <r>
      <t>η</t>
    </r>
    <r>
      <rPr>
        <vertAlign val="subscript"/>
        <sz val="10"/>
        <rFont val="Arial"/>
        <family val="2"/>
      </rPr>
      <t>Post</t>
    </r>
  </si>
  <si>
    <t>Error amplifier reference voltage</t>
  </si>
  <si>
    <t>Output regulation (isolated using TL431 and optocoupler)</t>
  </si>
  <si>
    <t>Regulation components (isolated using TL431 and optocoupler)</t>
  </si>
  <si>
    <r>
      <t>R</t>
    </r>
    <r>
      <rPr>
        <vertAlign val="subscript"/>
        <sz val="10"/>
        <rFont val="Arial"/>
        <family val="2"/>
      </rPr>
      <t>O1</t>
    </r>
  </si>
  <si>
    <r>
      <t>R</t>
    </r>
    <r>
      <rPr>
        <vertAlign val="subscript"/>
        <sz val="10"/>
        <rFont val="Arial"/>
        <family val="2"/>
      </rPr>
      <t>O2</t>
    </r>
  </si>
  <si>
    <r>
      <t>R</t>
    </r>
    <r>
      <rPr>
        <vertAlign val="subscript"/>
        <sz val="10"/>
        <rFont val="Arial"/>
        <family val="2"/>
      </rPr>
      <t>O2Cal</t>
    </r>
  </si>
  <si>
    <r>
      <t>R</t>
    </r>
    <r>
      <rPr>
        <vertAlign val="subscript"/>
        <sz val="10"/>
        <rFont val="Arial"/>
        <family val="2"/>
      </rPr>
      <t>O3Cal</t>
    </r>
  </si>
  <si>
    <r>
      <t>R</t>
    </r>
    <r>
      <rPr>
        <vertAlign val="subscript"/>
        <sz val="10"/>
        <rFont val="Arial"/>
        <family val="2"/>
      </rPr>
      <t>O3</t>
    </r>
  </si>
  <si>
    <t>Eq 001</t>
  </si>
  <si>
    <t>Eq 002</t>
  </si>
  <si>
    <t>Eq 003</t>
  </si>
  <si>
    <t>Eq 004</t>
  </si>
  <si>
    <t>Eq 005</t>
  </si>
  <si>
    <t>Eq 006</t>
  </si>
  <si>
    <t>Eq 007</t>
  </si>
  <si>
    <t>Eq 008</t>
  </si>
  <si>
    <t>Eq 009</t>
  </si>
  <si>
    <t>Eq 010</t>
  </si>
  <si>
    <t>Eq 011</t>
  </si>
  <si>
    <t>Eq 012</t>
  </si>
  <si>
    <t>Eq 013</t>
  </si>
  <si>
    <t>Eq 015</t>
  </si>
  <si>
    <t>Eq 016</t>
  </si>
  <si>
    <t>Eq 017</t>
  </si>
  <si>
    <t>Eq 018</t>
  </si>
  <si>
    <t>Eq 019</t>
  </si>
  <si>
    <t>Eq 020</t>
  </si>
  <si>
    <t>Eq 021</t>
  </si>
  <si>
    <t>Eq 022</t>
  </si>
  <si>
    <t>Eq 023</t>
  </si>
  <si>
    <t>Eq 024</t>
  </si>
  <si>
    <t>Eq 025</t>
  </si>
  <si>
    <t>Eq 026</t>
  </si>
  <si>
    <t>Eq 027</t>
  </si>
  <si>
    <t>Eq 028</t>
  </si>
  <si>
    <t>Eq 029</t>
  </si>
  <si>
    <t>Eq 030</t>
  </si>
  <si>
    <t>Eq 031</t>
  </si>
  <si>
    <t>Eq 032</t>
  </si>
  <si>
    <t>Eq 033</t>
  </si>
  <si>
    <t>Eq 034</t>
  </si>
  <si>
    <t>Eq 035</t>
  </si>
  <si>
    <t>Eq 036</t>
  </si>
  <si>
    <t>Eq 037</t>
  </si>
  <si>
    <t>Eq 038</t>
  </si>
  <si>
    <t>Eq 039</t>
  </si>
  <si>
    <t>Eq 040</t>
  </si>
  <si>
    <t>Eq 041</t>
  </si>
  <si>
    <t>Eq 042</t>
  </si>
  <si>
    <t>Eq 043</t>
  </si>
  <si>
    <t>Eq 044</t>
  </si>
  <si>
    <t>Eq 045</t>
  </si>
  <si>
    <t>Eq 046</t>
  </si>
  <si>
    <t>Eq 047</t>
  </si>
  <si>
    <t>Eq 048</t>
  </si>
  <si>
    <t>Eq 049</t>
  </si>
  <si>
    <t>Eq 050</t>
  </si>
  <si>
    <t>Eq 051</t>
  </si>
  <si>
    <t>Eq 052</t>
  </si>
  <si>
    <t>Eq 053</t>
  </si>
  <si>
    <t>Eq 054</t>
  </si>
  <si>
    <t>Eq 055</t>
  </si>
  <si>
    <t>Eq 056</t>
  </si>
  <si>
    <t>Eq 057</t>
  </si>
  <si>
    <t>Eq 058</t>
  </si>
  <si>
    <t>Eq 059</t>
  </si>
  <si>
    <t>Eq 060</t>
  </si>
  <si>
    <t>Eq 061</t>
  </si>
  <si>
    <t>Eq 062</t>
  </si>
  <si>
    <t>Eq 063</t>
  </si>
  <si>
    <t>Eq 064</t>
  </si>
  <si>
    <t>Eq 065</t>
  </si>
  <si>
    <t>Eq 066</t>
  </si>
  <si>
    <t>Eq 067</t>
  </si>
  <si>
    <t>Eq 068</t>
  </si>
  <si>
    <t>Eq 069</t>
  </si>
  <si>
    <t>Eq 070</t>
  </si>
  <si>
    <t>Eq 071</t>
  </si>
  <si>
    <t>Eq 072</t>
  </si>
  <si>
    <t>Eq 073</t>
  </si>
  <si>
    <t>Eq 074</t>
  </si>
  <si>
    <t>Eq 075</t>
  </si>
  <si>
    <t>Eq 076</t>
  </si>
  <si>
    <t>Eq 077</t>
  </si>
  <si>
    <t>Eq 078</t>
  </si>
  <si>
    <t>Eq 079</t>
  </si>
  <si>
    <t>Eq 080</t>
  </si>
  <si>
    <t>Eq 081</t>
  </si>
  <si>
    <t>Eq 082</t>
  </si>
  <si>
    <t>Eq 083</t>
  </si>
  <si>
    <t>Eq 084</t>
  </si>
  <si>
    <t>Eq 085</t>
  </si>
  <si>
    <t>Eq 086</t>
  </si>
  <si>
    <t>Eq 087</t>
  </si>
  <si>
    <t>Eq 088</t>
  </si>
  <si>
    <t>Eq 089</t>
  </si>
  <si>
    <t>Eq 090</t>
  </si>
  <si>
    <t>Eq 091</t>
  </si>
  <si>
    <t>Eq 092</t>
  </si>
  <si>
    <t>Eq 093</t>
  </si>
  <si>
    <t>Eq 094</t>
  </si>
  <si>
    <t>Eq 095</t>
  </si>
  <si>
    <t>Eq 096</t>
  </si>
  <si>
    <t>Eq 097</t>
  </si>
  <si>
    <t>Eq 098</t>
  </si>
  <si>
    <t>Eq 099</t>
  </si>
  <si>
    <t>Eq 100</t>
  </si>
  <si>
    <t>Eq 101</t>
  </si>
  <si>
    <t>Eq 102</t>
  </si>
  <si>
    <t>Eq 103</t>
  </si>
  <si>
    <t>Eq 104</t>
  </si>
  <si>
    <t>Eq 105</t>
  </si>
  <si>
    <t>Eq 106</t>
  </si>
  <si>
    <t>Eq 107</t>
  </si>
  <si>
    <t>Eq 108</t>
  </si>
  <si>
    <t>Eq 111</t>
  </si>
  <si>
    <t>Eq 112</t>
  </si>
  <si>
    <t>Eq 113</t>
  </si>
  <si>
    <t>Eq 114</t>
  </si>
  <si>
    <t>Eq 115</t>
  </si>
  <si>
    <t>Eq 116</t>
  </si>
  <si>
    <t>Eq 117</t>
  </si>
  <si>
    <t>Eq 118</t>
  </si>
  <si>
    <t>Eq 119</t>
  </si>
  <si>
    <t>Eq 120</t>
  </si>
  <si>
    <t>Eq 121</t>
  </si>
  <si>
    <t>Eq 122</t>
  </si>
  <si>
    <t>Eq 123</t>
  </si>
  <si>
    <t>Eq 124</t>
  </si>
  <si>
    <t>Eq 125</t>
  </si>
  <si>
    <t>Eq 126</t>
  </si>
  <si>
    <t>Enter thermal resistance junction-ambient (include copper pour)</t>
  </si>
  <si>
    <r>
      <t>R</t>
    </r>
    <r>
      <rPr>
        <vertAlign val="subscript"/>
        <sz val="10"/>
        <rFont val="Arial"/>
        <family val="2"/>
      </rPr>
      <t>thJA_As</t>
    </r>
  </si>
  <si>
    <t xml:space="preserve"> Vcc &gt; 25.5 V &amp; last for 55 μs</t>
  </si>
  <si>
    <r>
      <t>V</t>
    </r>
    <r>
      <rPr>
        <vertAlign val="subscript"/>
        <sz val="10"/>
        <rFont val="Source Sans Pro"/>
        <family val="2"/>
      </rPr>
      <t>FB</t>
    </r>
    <r>
      <rPr>
        <sz val="10"/>
        <rFont val="Source Sans Pro"/>
        <family val="2"/>
      </rPr>
      <t xml:space="preserve"> &gt; 2.73 V &amp; last for 54 ms </t>
    </r>
  </si>
  <si>
    <r>
      <t>V</t>
    </r>
    <r>
      <rPr>
        <b/>
        <vertAlign val="subscript"/>
        <sz val="12"/>
        <rFont val="Arial"/>
        <family val="2"/>
      </rPr>
      <t>CS_N</t>
    </r>
    <r>
      <rPr>
        <b/>
        <sz val="12"/>
        <rFont val="Arial"/>
        <family val="2"/>
      </rPr>
      <t>(V)</t>
    </r>
  </si>
  <si>
    <t xml:space="preserve">Output 2 Specs </t>
  </si>
  <si>
    <t>In the "Output regulation", only fill-in either isolated or non-isolated whichever is applicable.</t>
  </si>
  <si>
    <t>Design example for dual output non-isolated design using integrated amplifier (VERR pin)</t>
  </si>
  <si>
    <t>IC2</t>
  </si>
  <si>
    <t>SFH617A-3</t>
  </si>
  <si>
    <t>IC3</t>
  </si>
  <si>
    <t>TL431</t>
  </si>
  <si>
    <t>Design example for dual output isolated design using optocoupler and TL431</t>
  </si>
  <si>
    <t>ICE5AR4780BZS</t>
  </si>
  <si>
    <r>
      <t>Controller/ CoolSET</t>
    </r>
    <r>
      <rPr>
        <vertAlign val="superscript"/>
        <sz val="10"/>
        <rFont val="Arial"/>
        <family val="2"/>
      </rPr>
      <t>TM</t>
    </r>
  </si>
  <si>
    <r>
      <t>Calculation tool for fixed frequency flyback converter using Gen5 CoolSET</t>
    </r>
    <r>
      <rPr>
        <sz val="16"/>
        <rFont val="Calibri"/>
        <family val="2"/>
      </rPr>
      <t>™</t>
    </r>
    <r>
      <rPr>
        <sz val="16"/>
        <rFont val="Arial"/>
        <family val="2"/>
      </rPr>
      <t xml:space="preserve"> (Version 1.1)</t>
    </r>
  </si>
  <si>
    <t>ICE5xRxxxxxZx</t>
  </si>
  <si>
    <r>
      <t>I</t>
    </r>
    <r>
      <rPr>
        <vertAlign val="subscript"/>
        <sz val="10"/>
        <rFont val="Arial"/>
        <family val="2"/>
      </rPr>
      <t xml:space="preserve">VCC,normal2 </t>
    </r>
    <r>
      <rPr>
        <sz val="10"/>
        <rFont val="Arial"/>
        <family val="2"/>
      </rPr>
      <t>from datasheet</t>
    </r>
  </si>
  <si>
    <r>
      <t>I</t>
    </r>
    <r>
      <rPr>
        <vertAlign val="subscript"/>
        <sz val="10"/>
        <rFont val="Arial"/>
        <family val="2"/>
      </rPr>
      <t>VCC_normal2</t>
    </r>
  </si>
  <si>
    <t>Line OVP</t>
  </si>
  <si>
    <t>Select AC input LOVP</t>
  </si>
  <si>
    <r>
      <t>V</t>
    </r>
    <r>
      <rPr>
        <vertAlign val="subscript"/>
        <sz val="10"/>
        <rFont val="Arial"/>
        <family val="2"/>
      </rPr>
      <t>OVP_AC</t>
    </r>
  </si>
  <si>
    <r>
      <t>[V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2"/>
      </rPr>
      <t>]</t>
    </r>
  </si>
  <si>
    <r>
      <t>R</t>
    </r>
    <r>
      <rPr>
        <vertAlign val="subscript"/>
        <sz val="10"/>
        <rFont val="Arial"/>
        <family val="2"/>
      </rPr>
      <t>I1</t>
    </r>
  </si>
  <si>
    <r>
      <t>[M</t>
    </r>
    <r>
      <rPr>
        <sz val="10"/>
        <rFont val="Calibri"/>
        <family val="2"/>
      </rPr>
      <t>Ω</t>
    </r>
    <r>
      <rPr>
        <sz val="10"/>
        <rFont val="Arial"/>
        <family val="2"/>
      </rPr>
      <t>]</t>
    </r>
  </si>
  <si>
    <t>Controller LOVP threshold</t>
  </si>
  <si>
    <r>
      <t>V</t>
    </r>
    <r>
      <rPr>
        <vertAlign val="subscript"/>
        <sz val="10"/>
        <rFont val="Arial"/>
        <family val="2"/>
      </rPr>
      <t>VIN_LOVP</t>
    </r>
  </si>
  <si>
    <t>Low side DC input voltage divider resistor</t>
  </si>
  <si>
    <t>Eq 109</t>
  </si>
  <si>
    <r>
      <t>R</t>
    </r>
    <r>
      <rPr>
        <vertAlign val="subscript"/>
        <sz val="10"/>
        <rFont val="Arial"/>
        <family val="2"/>
      </rPr>
      <t>I2Cal</t>
    </r>
  </si>
  <si>
    <r>
      <t>[k</t>
    </r>
    <r>
      <rPr>
        <sz val="10"/>
        <rFont val="Calibri"/>
        <family val="2"/>
      </rPr>
      <t>Ω</t>
    </r>
    <r>
      <rPr>
        <sz val="10"/>
        <rFont val="Arial"/>
        <family val="2"/>
      </rPr>
      <t>]</t>
    </r>
  </si>
  <si>
    <r>
      <t>R</t>
    </r>
    <r>
      <rPr>
        <vertAlign val="subscript"/>
        <sz val="10"/>
        <rFont val="Arial"/>
        <family val="2"/>
      </rPr>
      <t>I2</t>
    </r>
  </si>
  <si>
    <r>
      <t>[k</t>
    </r>
    <r>
      <rPr>
        <sz val="10"/>
        <rFont val="Calibri"/>
        <family val="2"/>
      </rPr>
      <t>Ω</t>
    </r>
    <r>
      <rPr>
        <sz val="10"/>
        <rFont val="Arial"/>
        <family val="2"/>
      </rPr>
      <t>]</t>
    </r>
  </si>
  <si>
    <t>Post calculated LOVP</t>
  </si>
  <si>
    <t>Eq 110</t>
  </si>
  <si>
    <r>
      <t>V</t>
    </r>
    <r>
      <rPr>
        <vertAlign val="subscript"/>
        <sz val="10"/>
        <rFont val="Arial"/>
        <family val="2"/>
      </rPr>
      <t>OVP_ACPost</t>
    </r>
  </si>
  <si>
    <t>High side DC input voltage divider resistor</t>
  </si>
  <si>
    <t>Select low side  DC input voltage divider resistor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</si>
</sst>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000"/>
    <numFmt numFmtId="166" formatCode="0.0000E+00"/>
    <numFmt numFmtId="167" formatCode="0.0"/>
    <numFmt numFmtId="168" formatCode="[$-F800]dddd\,\ mmmm\ dd\,\ yyyy"/>
    <numFmt numFmtId="169" formatCode="0.0000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Source Sans Pro"/>
      <family val="2"/>
    </font>
    <font>
      <sz val="10"/>
      <name val="Source Sans Pro"/>
      <family val="2"/>
    </font>
    <font>
      <sz val="10"/>
      <color rgb="FF000000"/>
      <name val="Source Sans Pro"/>
      <family val="2"/>
    </font>
    <font>
      <vertAlign val="subscript"/>
      <sz val="10"/>
      <color rgb="FF000000"/>
      <name val="Source Sans Pro"/>
      <family val="2"/>
    </font>
    <font>
      <vertAlign val="subscript"/>
      <sz val="10"/>
      <name val="Source Sans Pro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Mathcad UniMath"/>
      <family val="3"/>
    </font>
    <font>
      <sz val="10"/>
      <name val="Calibri"/>
      <family val="2"/>
      <scheme val="minor"/>
    </font>
    <font>
      <i/>
      <sz val="10"/>
      <name val="Cambria"/>
      <family val="1"/>
    </font>
    <font>
      <sz val="10"/>
      <name val="Cambria"/>
      <family val="1"/>
    </font>
    <font>
      <b/>
      <sz val="8"/>
      <name val="Arial"/>
      <family val="2"/>
    </font>
    <font>
      <sz val="16"/>
      <name val="Calibri"/>
      <family val="2"/>
    </font>
    <font>
      <b/>
      <vertAlign val="superscript"/>
      <sz val="9"/>
      <color indexed="81"/>
      <name val="Tahoma"/>
      <family val="2"/>
    </font>
    <font>
      <sz val="11"/>
      <name val="Arial"/>
      <family val="2"/>
    </font>
    <font>
      <b/>
      <vertAlign val="subscript"/>
      <sz val="8"/>
      <name val="Arial"/>
      <family val="2"/>
    </font>
    <font>
      <b/>
      <sz val="8"/>
      <color rgb="FFFF0000"/>
      <name val="Arial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E813C"/>
        <bgColor indexed="64"/>
      </patternFill>
    </fill>
    <fill>
      <patternFill patternType="solid">
        <fgColor rgb="FFAEC067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8">
    <xf numFmtId="0" fontId="0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>
      <alignment vertical="top" wrapText="1"/>
    </xf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33" fillId="0" borderId="0"/>
    <xf numFmtId="0" fontId="1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</cellStyleXfs>
  <cellXfs count="214">
    <xf numFmtId="0" fontId="0" fillId="0" borderId="0" xfId="0"/>
    <xf numFmtId="0" fontId="13" fillId="2" borderId="0" xfId="0" applyFont="1" applyFill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0" xfId="0" applyBorder="1"/>
    <xf numFmtId="0" fontId="0" fillId="0" borderId="5" xfId="0" applyFill="1" applyBorder="1"/>
    <xf numFmtId="0" fontId="0" fillId="0" borderId="5" xfId="0" applyFill="1" applyBorder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27" fillId="0" borderId="0" xfId="0" applyFont="1"/>
    <xf numFmtId="0" fontId="27" fillId="0" borderId="5" xfId="0" applyFont="1" applyBorder="1" applyAlignment="1">
      <alignment vertical="center"/>
    </xf>
    <xf numFmtId="0" fontId="27" fillId="0" borderId="5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Border="1"/>
    <xf numFmtId="0" fontId="26" fillId="0" borderId="5" xfId="0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quotePrefix="1" applyFont="1" applyFill="1" applyAlignment="1" applyProtection="1">
      <alignment horizontal="left" vertical="center"/>
      <protection hidden="1"/>
    </xf>
    <xf numFmtId="0" fontId="12" fillId="0" borderId="0" xfId="0" quotePrefix="1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36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0" fillId="0" borderId="0" xfId="0" quotePrefix="1" applyFont="1" applyFill="1" applyBorder="1" applyAlignment="1" applyProtection="1">
      <alignment vertical="center"/>
      <protection hidden="1"/>
    </xf>
    <xf numFmtId="164" fontId="12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166" fontId="12" fillId="0" borderId="0" xfId="0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2" fillId="0" borderId="0" xfId="1" applyFont="1" applyFill="1" applyBorder="1" applyAlignment="1" applyProtection="1">
      <alignment vertical="center"/>
      <protection hidden="1"/>
    </xf>
    <xf numFmtId="0" fontId="12" fillId="0" borderId="0" xfId="1" applyFont="1" applyFill="1" applyBorder="1" applyAlignment="1" applyProtection="1">
      <alignment horizontal="center" vertical="center"/>
      <protection hidden="1"/>
    </xf>
    <xf numFmtId="2" fontId="12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1" applyFont="1" applyFill="1" applyAlignment="1" applyProtection="1">
      <alignment horizontal="center" vertical="center"/>
      <protection hidden="1"/>
    </xf>
    <xf numFmtId="0" fontId="12" fillId="0" borderId="0" xfId="0" quotePrefix="1" applyFont="1" applyFill="1" applyBorder="1" applyAlignment="1" applyProtection="1">
      <alignment horizontal="center" vertical="center"/>
      <protection hidden="1"/>
    </xf>
    <xf numFmtId="0" fontId="12" fillId="3" borderId="7" xfId="0" applyFont="1" applyFill="1" applyBorder="1" applyAlignment="1" applyProtection="1">
      <alignment horizontal="center" vertical="center"/>
      <protection hidden="1"/>
    </xf>
    <xf numFmtId="0" fontId="12" fillId="6" borderId="1" xfId="0" quotePrefix="1" applyFont="1" applyFill="1" applyBorder="1" applyAlignment="1" applyProtection="1">
      <alignment horizontal="center" vertical="center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1" xfId="1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0" fontId="12" fillId="6" borderId="0" xfId="0" applyFont="1" applyFill="1" applyBorder="1" applyAlignment="1" applyProtection="1">
      <alignment horizontal="center" vertical="center"/>
      <protection hidden="1"/>
    </xf>
    <xf numFmtId="0" fontId="12" fillId="6" borderId="0" xfId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3" borderId="11" xfId="0" applyFont="1" applyFill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2" xfId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justify"/>
      <protection hidden="1"/>
    </xf>
    <xf numFmtId="2" fontId="12" fillId="0" borderId="0" xfId="0" applyNumberFormat="1" applyFont="1" applyAlignment="1" applyProtection="1">
      <alignment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NumberFormat="1" applyFont="1" applyFill="1" applyAlignment="1" applyProtection="1">
      <alignment horizontal="left" vertical="center"/>
      <protection hidden="1"/>
    </xf>
    <xf numFmtId="165" fontId="21" fillId="0" borderId="0" xfId="0" applyNumberFormat="1" applyFont="1" applyAlignment="1" applyProtection="1">
      <alignment vertical="center"/>
      <protection hidden="1"/>
    </xf>
    <xf numFmtId="0" fontId="12" fillId="0" borderId="0" xfId="0" quotePrefix="1" applyFont="1" applyFill="1" applyBorder="1" applyAlignment="1" applyProtection="1">
      <alignment horizontal="left"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5" fontId="12" fillId="0" borderId="0" xfId="0" applyNumberFormat="1" applyFont="1" applyFill="1" applyAlignment="1" applyProtection="1">
      <alignment vertical="center"/>
      <protection hidden="1"/>
    </xf>
    <xf numFmtId="167" fontId="12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2" fontId="12" fillId="0" borderId="0" xfId="0" applyNumberFormat="1" applyFont="1" applyFill="1" applyAlignment="1" applyProtection="1">
      <alignment vertical="center"/>
      <protection hidden="1"/>
    </xf>
    <xf numFmtId="2" fontId="12" fillId="0" borderId="0" xfId="0" applyNumberFormat="1" applyFont="1" applyFill="1" applyAlignment="1" applyProtection="1">
      <alignment horizontal="center" vertical="center"/>
      <protection hidden="1"/>
    </xf>
    <xf numFmtId="164" fontId="21" fillId="0" borderId="0" xfId="0" applyNumberFormat="1" applyFont="1" applyFill="1" applyAlignment="1" applyProtection="1">
      <alignment vertical="center"/>
      <protection hidden="1"/>
    </xf>
    <xf numFmtId="2" fontId="21" fillId="0" borderId="0" xfId="0" applyNumberFormat="1" applyFont="1" applyFill="1" applyAlignment="1" applyProtection="1">
      <alignment horizontal="left" vertical="center"/>
      <protection hidden="1"/>
    </xf>
    <xf numFmtId="1" fontId="12" fillId="0" borderId="0" xfId="0" applyNumberFormat="1" applyFont="1" applyFill="1" applyAlignment="1" applyProtection="1">
      <alignment horizontal="center" vertical="center"/>
      <protection hidden="1"/>
    </xf>
    <xf numFmtId="1" fontId="12" fillId="0" borderId="0" xfId="0" applyNumberFormat="1" applyFont="1" applyFill="1" applyAlignment="1" applyProtection="1">
      <alignment horizontal="left" vertical="center"/>
      <protection hidden="1"/>
    </xf>
    <xf numFmtId="11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protection hidden="1"/>
    </xf>
    <xf numFmtId="0" fontId="20" fillId="0" borderId="0" xfId="0" applyFon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12" fillId="0" borderId="0" xfId="0" applyFont="1" applyFill="1" applyProtection="1"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10" fontId="12" fillId="0" borderId="0" xfId="127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2" fillId="0" borderId="0" xfId="1" applyFont="1" applyFill="1" applyAlignment="1" applyProtection="1">
      <alignment vertical="center"/>
      <protection hidden="1"/>
    </xf>
    <xf numFmtId="0" fontId="41" fillId="0" borderId="0" xfId="0" applyFont="1" applyFill="1" applyProtection="1">
      <protection hidden="1"/>
    </xf>
    <xf numFmtId="3" fontId="12" fillId="0" borderId="0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vertical="center"/>
      <protection hidden="1"/>
    </xf>
    <xf numFmtId="0" fontId="39" fillId="0" borderId="0" xfId="1" applyFont="1" applyFill="1" applyAlignment="1" applyProtection="1">
      <alignment vertical="center"/>
      <protection hidden="1"/>
    </xf>
    <xf numFmtId="0" fontId="40" fillId="0" borderId="0" xfId="1" applyFont="1" applyFill="1" applyBorder="1" applyAlignment="1" applyProtection="1">
      <alignment vertical="center"/>
      <protection hidden="1"/>
    </xf>
    <xf numFmtId="0" fontId="40" fillId="0" borderId="0" xfId="1" applyFont="1" applyFill="1" applyAlignment="1" applyProtection="1">
      <alignment horizontal="center" vertical="center"/>
      <protection hidden="1"/>
    </xf>
    <xf numFmtId="1" fontId="12" fillId="0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28" fillId="0" borderId="5" xfId="0" applyFont="1" applyBorder="1" applyAlignment="1">
      <alignment vertical="center" wrapText="1"/>
    </xf>
    <xf numFmtId="0" fontId="0" fillId="0" borderId="0" xfId="0" applyFill="1" applyBorder="1"/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5" xfId="0" quotePrefix="1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2" fontId="18" fillId="0" borderId="6" xfId="0" quotePrefix="1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 wrapText="1"/>
    </xf>
    <xf numFmtId="2" fontId="46" fillId="0" borderId="6" xfId="0" applyNumberFormat="1" applyFont="1" applyFill="1" applyBorder="1" applyAlignment="1">
      <alignment horizontal="center" vertical="center" wrapText="1"/>
    </xf>
    <xf numFmtId="2" fontId="46" fillId="0" borderId="5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/>
    </xf>
    <xf numFmtId="1" fontId="46" fillId="0" borderId="5" xfId="0" applyNumberFormat="1" applyFont="1" applyFill="1" applyBorder="1" applyAlignment="1">
      <alignment horizontal="center" vertical="center" wrapText="1"/>
    </xf>
    <xf numFmtId="1" fontId="46" fillId="0" borderId="5" xfId="0" applyNumberFormat="1" applyFont="1" applyFill="1" applyBorder="1" applyAlignment="1">
      <alignment horizontal="center" vertical="center"/>
    </xf>
    <xf numFmtId="2" fontId="46" fillId="0" borderId="5" xfId="0" applyNumberFormat="1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vertical="center"/>
      <protection hidden="1"/>
    </xf>
    <xf numFmtId="2" fontId="46" fillId="0" borderId="19" xfId="0" applyNumberFormat="1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10" fillId="0" borderId="0" xfId="0" quotePrefix="1" applyFont="1" applyAlignment="1" applyProtection="1">
      <alignment horizontal="left" vertical="center"/>
      <protection hidden="1"/>
    </xf>
    <xf numFmtId="0" fontId="36" fillId="7" borderId="0" xfId="0" applyFont="1" applyFill="1" applyAlignment="1" applyProtection="1">
      <alignment vertical="center"/>
      <protection hidden="1"/>
    </xf>
    <xf numFmtId="0" fontId="12" fillId="7" borderId="0" xfId="0" applyFont="1" applyFill="1" applyAlignment="1" applyProtection="1">
      <alignment horizontal="left" vertical="center"/>
      <protection hidden="1"/>
    </xf>
    <xf numFmtId="0" fontId="44" fillId="7" borderId="13" xfId="0" applyFont="1" applyFill="1" applyBorder="1" applyAlignment="1" applyProtection="1">
      <alignment horizontal="left" vertical="center"/>
      <protection locked="0"/>
    </xf>
    <xf numFmtId="0" fontId="44" fillId="7" borderId="4" xfId="0" applyFont="1" applyFill="1" applyBorder="1" applyAlignment="1" applyProtection="1">
      <alignment horizontal="left" vertical="center"/>
      <protection locked="0"/>
    </xf>
    <xf numFmtId="0" fontId="12" fillId="7" borderId="5" xfId="0" applyFont="1" applyFill="1" applyBorder="1" applyAlignment="1" applyProtection="1">
      <alignment vertical="center"/>
      <protection hidden="1"/>
    </xf>
    <xf numFmtId="0" fontId="12" fillId="7" borderId="5" xfId="0" applyFont="1" applyFill="1" applyBorder="1" applyAlignment="1" applyProtection="1">
      <alignment horizontal="left" vertical="center"/>
      <protection hidden="1"/>
    </xf>
    <xf numFmtId="0" fontId="12" fillId="7" borderId="5" xfId="0" applyFont="1" applyFill="1" applyBorder="1" applyAlignment="1" applyProtection="1">
      <alignment horizontal="center" vertical="center"/>
      <protection hidden="1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2" fontId="12" fillId="7" borderId="5" xfId="0" applyNumberFormat="1" applyFont="1" applyFill="1" applyBorder="1" applyAlignment="1" applyProtection="1">
      <alignment horizontal="center" vertical="center"/>
      <protection locked="0"/>
    </xf>
    <xf numFmtId="0" fontId="37" fillId="7" borderId="5" xfId="0" applyFont="1" applyFill="1" applyBorder="1" applyAlignment="1" applyProtection="1">
      <alignment horizontal="left" vertical="center"/>
      <protection hidden="1"/>
    </xf>
    <xf numFmtId="1" fontId="12" fillId="7" borderId="5" xfId="0" applyNumberFormat="1" applyFont="1" applyFill="1" applyBorder="1" applyAlignment="1" applyProtection="1">
      <alignment horizontal="center" vertical="center"/>
      <protection locked="0"/>
    </xf>
    <xf numFmtId="0" fontId="12" fillId="7" borderId="5" xfId="0" applyNumberFormat="1" applyFont="1" applyFill="1" applyBorder="1" applyAlignment="1" applyProtection="1">
      <alignment horizontal="center" vertical="center"/>
      <protection locked="0"/>
    </xf>
    <xf numFmtId="0" fontId="12" fillId="7" borderId="5" xfId="1" applyFont="1" applyFill="1" applyBorder="1" applyAlignment="1" applyProtection="1">
      <alignment vertical="center"/>
      <protection hidden="1"/>
    </xf>
    <xf numFmtId="0" fontId="12" fillId="7" borderId="5" xfId="1" applyFont="1" applyFill="1" applyBorder="1" applyAlignment="1" applyProtection="1">
      <alignment horizontal="center" vertical="center"/>
      <protection hidden="1"/>
    </xf>
    <xf numFmtId="0" fontId="12" fillId="7" borderId="5" xfId="1" applyNumberFormat="1" applyFont="1" applyFill="1" applyBorder="1" applyAlignment="1" applyProtection="1">
      <alignment horizontal="center" vertical="center"/>
      <protection locked="0"/>
    </xf>
    <xf numFmtId="0" fontId="12" fillId="7" borderId="8" xfId="1" applyFont="1" applyFill="1" applyBorder="1" applyAlignment="1" applyProtection="1">
      <alignment horizontal="center" vertical="center"/>
      <protection locked="0"/>
    </xf>
    <xf numFmtId="0" fontId="12" fillId="7" borderId="10" xfId="1" applyFont="1" applyFill="1" applyBorder="1" applyAlignment="1" applyProtection="1">
      <alignment horizontal="center" vertical="center"/>
      <protection locked="0"/>
    </xf>
    <xf numFmtId="0" fontId="12" fillId="7" borderId="12" xfId="1" applyFont="1" applyFill="1" applyBorder="1" applyAlignment="1" applyProtection="1">
      <alignment horizontal="center" vertical="center"/>
      <protection locked="0"/>
    </xf>
    <xf numFmtId="0" fontId="12" fillId="7" borderId="5" xfId="0" quotePrefix="1" applyFont="1" applyFill="1" applyBorder="1" applyAlignment="1" applyProtection="1">
      <alignment horizontal="left" vertical="center"/>
      <protection hidden="1"/>
    </xf>
    <xf numFmtId="167" fontId="12" fillId="7" borderId="5" xfId="0" applyNumberFormat="1" applyFont="1" applyFill="1" applyBorder="1" applyAlignment="1" applyProtection="1">
      <alignment horizontal="center" vertical="center"/>
      <protection locked="0"/>
    </xf>
    <xf numFmtId="9" fontId="12" fillId="7" borderId="5" xfId="127" applyFont="1" applyFill="1" applyBorder="1" applyAlignment="1" applyProtection="1">
      <alignment horizontal="center" vertical="center"/>
      <protection locked="0"/>
    </xf>
    <xf numFmtId="0" fontId="12" fillId="8" borderId="5" xfId="0" applyFont="1" applyFill="1" applyBorder="1" applyProtection="1">
      <protection hidden="1"/>
    </xf>
    <xf numFmtId="0" fontId="12" fillId="8" borderId="5" xfId="0" applyFont="1" applyFill="1" applyBorder="1" applyAlignment="1" applyProtection="1">
      <alignment horizontal="center"/>
      <protection hidden="1"/>
    </xf>
    <xf numFmtId="167" fontId="12" fillId="8" borderId="5" xfId="0" applyNumberFormat="1" applyFont="1" applyFill="1" applyBorder="1" applyAlignment="1" applyProtection="1">
      <alignment horizontal="center"/>
      <protection hidden="1"/>
    </xf>
    <xf numFmtId="2" fontId="12" fillId="8" borderId="5" xfId="0" applyNumberFormat="1" applyFont="1" applyFill="1" applyBorder="1" applyAlignment="1" applyProtection="1">
      <alignment horizontal="center"/>
      <protection hidden="1"/>
    </xf>
    <xf numFmtId="1" fontId="12" fillId="8" borderId="5" xfId="0" applyNumberFormat="1" applyFont="1" applyFill="1" applyBorder="1" applyAlignment="1" applyProtection="1">
      <alignment horizontal="center"/>
      <protection hidden="1"/>
    </xf>
    <xf numFmtId="0" fontId="12" fillId="8" borderId="5" xfId="0" applyFont="1" applyFill="1" applyBorder="1" applyAlignment="1" applyProtection="1">
      <alignment horizontal="center" vertical="center"/>
      <protection hidden="1"/>
    </xf>
    <xf numFmtId="10" fontId="12" fillId="8" borderId="5" xfId="127" applyNumberFormat="1" applyFont="1" applyFill="1" applyBorder="1" applyAlignment="1" applyProtection="1">
      <alignment horizontal="center"/>
      <protection hidden="1"/>
    </xf>
    <xf numFmtId="0" fontId="11" fillId="8" borderId="5" xfId="0" applyFont="1" applyFill="1" applyBorder="1" applyAlignment="1" applyProtection="1">
      <alignment vertical="center"/>
      <protection hidden="1"/>
    </xf>
    <xf numFmtId="0" fontId="12" fillId="8" borderId="5" xfId="0" applyFont="1" applyFill="1" applyBorder="1" applyAlignment="1" applyProtection="1">
      <alignment vertical="center"/>
      <protection hidden="1"/>
    </xf>
    <xf numFmtId="2" fontId="12" fillId="8" borderId="5" xfId="0" applyNumberFormat="1" applyFont="1" applyFill="1" applyBorder="1" applyAlignment="1" applyProtection="1">
      <alignment horizontal="center" vertical="center"/>
      <protection hidden="1"/>
    </xf>
    <xf numFmtId="0" fontId="12" fillId="8" borderId="5" xfId="0" applyFont="1" applyFill="1" applyBorder="1" applyAlignment="1" applyProtection="1">
      <alignment horizontal="left" vertical="center"/>
      <protection hidden="1"/>
    </xf>
    <xf numFmtId="164" fontId="12" fillId="8" borderId="5" xfId="0" applyNumberFormat="1" applyFont="1" applyFill="1" applyBorder="1" applyAlignment="1" applyProtection="1">
      <alignment horizontal="center" vertical="center"/>
      <protection hidden="1"/>
    </xf>
    <xf numFmtId="167" fontId="12" fillId="8" borderId="5" xfId="0" applyNumberFormat="1" applyFont="1" applyFill="1" applyBorder="1" applyAlignment="1" applyProtection="1">
      <alignment horizontal="center" vertical="center"/>
      <protection hidden="1"/>
    </xf>
    <xf numFmtId="169" fontId="12" fillId="8" borderId="5" xfId="0" applyNumberFormat="1" applyFont="1" applyFill="1" applyBorder="1" applyAlignment="1" applyProtection="1">
      <alignment horizontal="center" vertical="center"/>
      <protection hidden="1"/>
    </xf>
    <xf numFmtId="165" fontId="12" fillId="8" borderId="5" xfId="0" applyNumberFormat="1" applyFont="1" applyFill="1" applyBorder="1" applyAlignment="1" applyProtection="1">
      <alignment horizontal="center" vertical="center"/>
      <protection hidden="1"/>
    </xf>
    <xf numFmtId="0" fontId="12" fillId="8" borderId="5" xfId="0" quotePrefix="1" applyFont="1" applyFill="1" applyBorder="1" applyAlignment="1" applyProtection="1">
      <alignment horizontal="center" vertical="center"/>
      <protection hidden="1"/>
    </xf>
    <xf numFmtId="10" fontId="12" fillId="8" borderId="5" xfId="127" applyNumberFormat="1" applyFont="1" applyFill="1" applyBorder="1" applyAlignment="1" applyProtection="1">
      <alignment horizontal="center" vertical="center"/>
      <protection hidden="1"/>
    </xf>
    <xf numFmtId="1" fontId="12" fillId="8" borderId="5" xfId="0" applyNumberFormat="1" applyFont="1" applyFill="1" applyBorder="1" applyAlignment="1" applyProtection="1">
      <alignment horizontal="center" vertical="center"/>
      <protection hidden="1"/>
    </xf>
    <xf numFmtId="11" fontId="12" fillId="8" borderId="5" xfId="0" applyNumberFormat="1" applyFont="1" applyFill="1" applyBorder="1" applyAlignment="1" applyProtection="1">
      <alignment horizontal="center" vertical="center"/>
      <protection hidden="1"/>
    </xf>
    <xf numFmtId="0" fontId="12" fillId="8" borderId="5" xfId="0" quotePrefix="1" applyFont="1" applyFill="1" applyBorder="1" applyAlignment="1" applyProtection="1">
      <alignment horizontal="left" vertical="center"/>
      <protection hidden="1"/>
    </xf>
    <xf numFmtId="0" fontId="11" fillId="8" borderId="5" xfId="1" applyFont="1" applyFill="1" applyBorder="1" applyAlignment="1" applyProtection="1">
      <alignment vertical="center"/>
      <protection hidden="1"/>
    </xf>
    <xf numFmtId="0" fontId="12" fillId="8" borderId="5" xfId="1" applyFont="1" applyFill="1" applyBorder="1" applyAlignment="1" applyProtection="1">
      <alignment vertical="center"/>
      <protection hidden="1"/>
    </xf>
    <xf numFmtId="0" fontId="12" fillId="8" borderId="5" xfId="1" applyFont="1" applyFill="1" applyBorder="1" applyAlignment="1" applyProtection="1">
      <alignment horizontal="center" vertical="center"/>
      <protection hidden="1"/>
    </xf>
    <xf numFmtId="2" fontId="12" fillId="8" borderId="5" xfId="1" applyNumberFormat="1" applyFont="1" applyFill="1" applyBorder="1" applyAlignment="1" applyProtection="1">
      <alignment horizontal="center" vertical="center"/>
      <protection hidden="1"/>
    </xf>
    <xf numFmtId="2" fontId="12" fillId="8" borderId="5" xfId="0" quotePrefix="1" applyNumberFormat="1" applyFont="1" applyFill="1" applyBorder="1" applyAlignment="1" applyProtection="1">
      <alignment horizontal="center" vertical="center"/>
      <protection hidden="1"/>
    </xf>
    <xf numFmtId="0" fontId="36" fillId="8" borderId="0" xfId="0" applyFont="1" applyFill="1" applyAlignment="1" applyProtection="1">
      <alignment vertical="center"/>
      <protection hidden="1"/>
    </xf>
    <xf numFmtId="0" fontId="12" fillId="8" borderId="0" xfId="0" applyFont="1" applyFill="1" applyAlignment="1" applyProtection="1">
      <alignment horizontal="left" vertical="center"/>
      <protection hidden="1"/>
    </xf>
    <xf numFmtId="0" fontId="12" fillId="0" borderId="3" xfId="0" applyFont="1" applyFill="1" applyBorder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0" fontId="44" fillId="0" borderId="3" xfId="0" applyFont="1" applyFill="1" applyBorder="1" applyAlignment="1" applyProtection="1">
      <alignment horizontal="left" vertical="center"/>
      <protection hidden="1"/>
    </xf>
    <xf numFmtId="0" fontId="44" fillId="0" borderId="4" xfId="0" applyFont="1" applyFill="1" applyBorder="1" applyAlignment="1" applyProtection="1">
      <alignment horizontal="left" vertical="center"/>
      <protection hidden="1"/>
    </xf>
    <xf numFmtId="168" fontId="44" fillId="0" borderId="3" xfId="0" applyNumberFormat="1" applyFont="1" applyFill="1" applyBorder="1" applyAlignment="1" applyProtection="1">
      <alignment horizontal="center" vertical="center"/>
      <protection locked="0"/>
    </xf>
    <xf numFmtId="168" fontId="44" fillId="0" borderId="4" xfId="0" applyNumberFormat="1" applyFont="1" applyFill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/>
      <protection locked="0"/>
    </xf>
    <xf numFmtId="0" fontId="44" fillId="0" borderId="4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13" xfId="0" applyFont="1" applyFill="1" applyBorder="1" applyAlignment="1" applyProtection="1">
      <alignment horizontal="center" vertical="center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12" fillId="0" borderId="13" xfId="0" applyFont="1" applyBorder="1" applyAlignment="1" applyProtection="1">
      <alignment vertical="center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35" fillId="4" borderId="0" xfId="0" applyFont="1" applyFill="1" applyAlignment="1" applyProtection="1">
      <alignment horizontal="left" vertical="center"/>
      <protection hidden="1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0" fillId="0" borderId="0" xfId="0" applyFont="1" applyFill="1" applyProtection="1">
      <protection hidden="1"/>
    </xf>
    <xf numFmtId="0" fontId="12" fillId="7" borderId="5" xfId="1" applyFont="1" applyFill="1" applyBorder="1" applyAlignment="1" applyProtection="1">
      <alignment horizontal="center" vertical="center"/>
      <protection locked="0"/>
    </xf>
    <xf numFmtId="3" fontId="12" fillId="7" borderId="5" xfId="1" applyNumberFormat="1" applyFont="1" applyFill="1" applyBorder="1" applyAlignment="1" applyProtection="1">
      <alignment horizontal="center" vertical="center"/>
      <protection locked="0"/>
    </xf>
    <xf numFmtId="4" fontId="12" fillId="8" borderId="5" xfId="1" applyNumberFormat="1" applyFont="1" applyFill="1" applyBorder="1" applyAlignment="1" applyProtection="1">
      <alignment horizontal="center" vertical="center"/>
      <protection hidden="1"/>
    </xf>
  </cellXfs>
  <cellStyles count="128">
    <cellStyle name="Hyperlink 2" xfId="18"/>
    <cellStyle name="Hyperlink 2 2" xfId="20"/>
    <cellStyle name="Hyperlink 2 3" xfId="23"/>
    <cellStyle name="Hyperlink 3" xfId="21"/>
    <cellStyle name="Hyperlink 4" xfId="9"/>
    <cellStyle name="Norm੎੎" xfId="10"/>
    <cellStyle name="Normal" xfId="0" builtinId="0"/>
    <cellStyle name="Normal 2" xfId="1"/>
    <cellStyle name="Normal 2 2" xfId="19"/>
    <cellStyle name="Normal 2 3" xfId="25"/>
    <cellStyle name="Normal 2 3 2" xfId="33"/>
    <cellStyle name="Normal 2 3 2 2" xfId="63"/>
    <cellStyle name="Normal 2 3 2 2 2" xfId="70"/>
    <cellStyle name="Normal 2 3 2 3" xfId="69"/>
    <cellStyle name="Normal 2 3 3" xfId="55"/>
    <cellStyle name="Normal 2 3 3 2" xfId="71"/>
    <cellStyle name="Normal 2 3 4" xfId="41"/>
    <cellStyle name="Normal 2 3 4 2" xfId="72"/>
    <cellStyle name="Normal 2 3 5" xfId="68"/>
    <cellStyle name="Normal 2 3 6" xfId="123"/>
    <cellStyle name="Normal 2 4" xfId="15"/>
    <cellStyle name="Normal 2 4 2" xfId="31"/>
    <cellStyle name="Normal 2 4 2 2" xfId="61"/>
    <cellStyle name="Normal 2 4 2 2 2" xfId="75"/>
    <cellStyle name="Normal 2 4 2 3" xfId="74"/>
    <cellStyle name="Normal 2 4 3" xfId="53"/>
    <cellStyle name="Normal 2 4 3 2" xfId="76"/>
    <cellStyle name="Normal 2 4 4" xfId="39"/>
    <cellStyle name="Normal 2 4 4 2" xfId="77"/>
    <cellStyle name="Normal 2 4 5" xfId="73"/>
    <cellStyle name="Normal 2 4 6" xfId="121"/>
    <cellStyle name="Normal 3" xfId="2"/>
    <cellStyle name="Normal 3 2" xfId="3"/>
    <cellStyle name="Normal 3 2 2" xfId="4"/>
    <cellStyle name="Normal 3 2 2 2" xfId="6"/>
    <cellStyle name="Normal 3 2 2 2 2" xfId="49"/>
    <cellStyle name="Normal 3 2 2 2 2 2" xfId="82"/>
    <cellStyle name="Normal 3 2 2 2 3" xfId="81"/>
    <cellStyle name="Normal 3 2 2 3" xfId="47"/>
    <cellStyle name="Normal 3 2 2 3 2" xfId="83"/>
    <cellStyle name="Normal 3 2 2 4" xfId="80"/>
    <cellStyle name="Normal 3 2 3" xfId="8"/>
    <cellStyle name="Normal 3 2 3 2" xfId="51"/>
    <cellStyle name="Normal 3 2 3 2 2" xfId="85"/>
    <cellStyle name="Normal 3 2 3 3" xfId="84"/>
    <cellStyle name="Normal 3 2 4" xfId="17"/>
    <cellStyle name="Normal 3 2 5" xfId="46"/>
    <cellStyle name="Normal 3 2 5 2" xfId="86"/>
    <cellStyle name="Normal 3 2 6" xfId="79"/>
    <cellStyle name="Normal 3 3" xfId="7"/>
    <cellStyle name="Normal 3 3 2" xfId="28"/>
    <cellStyle name="Normal 3 3 2 2" xfId="58"/>
    <cellStyle name="Normal 3 3 2 2 2" xfId="89"/>
    <cellStyle name="Normal 3 3 2 3" xfId="88"/>
    <cellStyle name="Normal 3 3 3" xfId="36"/>
    <cellStyle name="Normal 3 3 3 2" xfId="66"/>
    <cellStyle name="Normal 3 3 3 2 2" xfId="91"/>
    <cellStyle name="Normal 3 3 3 3" xfId="90"/>
    <cellStyle name="Normal 3 3 4" xfId="50"/>
    <cellStyle name="Normal 3 3 4 2" xfId="92"/>
    <cellStyle name="Normal 3 3 5" xfId="44"/>
    <cellStyle name="Normal 3 3 5 2" xfId="93"/>
    <cellStyle name="Normal 3 3 6" xfId="87"/>
    <cellStyle name="Normal 3 3 7" xfId="126"/>
    <cellStyle name="Normal 3 4" xfId="16"/>
    <cellStyle name="Normal 3 5" xfId="29"/>
    <cellStyle name="Normal 3 5 2" xfId="59"/>
    <cellStyle name="Normal 3 5 2 2" xfId="95"/>
    <cellStyle name="Normal 3 5 3" xfId="94"/>
    <cellStyle name="Normal 3 6" xfId="45"/>
    <cellStyle name="Normal 3 6 2" xfId="96"/>
    <cellStyle name="Normal 3 7" xfId="37"/>
    <cellStyle name="Normal 3 7 2" xfId="97"/>
    <cellStyle name="Normal 3 8" xfId="78"/>
    <cellStyle name="Normal 4" xfId="5"/>
    <cellStyle name="Normal 4 2" xfId="22"/>
    <cellStyle name="Normal 4 3" xfId="48"/>
    <cellStyle name="Normal 4 3 2" xfId="99"/>
    <cellStyle name="Normal 4 4" xfId="98"/>
    <cellStyle name="Normal 5" xfId="14"/>
    <cellStyle name="Normal 5 2" xfId="30"/>
    <cellStyle name="Normal 5 2 2" xfId="60"/>
    <cellStyle name="Normal 5 2 2 2" xfId="102"/>
    <cellStyle name="Normal 5 2 3" xfId="101"/>
    <cellStyle name="Normal 5 3" xfId="52"/>
    <cellStyle name="Normal 5 3 2" xfId="103"/>
    <cellStyle name="Normal 5 4" xfId="38"/>
    <cellStyle name="Normal 5 4 2" xfId="104"/>
    <cellStyle name="Normal 5 5" xfId="100"/>
    <cellStyle name="Normal 5 6" xfId="120"/>
    <cellStyle name="Normal 6" xfId="24"/>
    <cellStyle name="Normal 6 2" xfId="32"/>
    <cellStyle name="Normal 6 2 2" xfId="62"/>
    <cellStyle name="Normal 6 2 2 2" xfId="107"/>
    <cellStyle name="Normal 6 2 3" xfId="106"/>
    <cellStyle name="Normal 6 3" xfId="54"/>
    <cellStyle name="Normal 6 3 2" xfId="108"/>
    <cellStyle name="Normal 6 4" xfId="40"/>
    <cellStyle name="Normal 6 4 2" xfId="109"/>
    <cellStyle name="Normal 6 5" xfId="105"/>
    <cellStyle name="Normal 6 6" xfId="122"/>
    <cellStyle name="Normal 7" xfId="26"/>
    <cellStyle name="Normal 7 2" xfId="27"/>
    <cellStyle name="Normal 7 2 2" xfId="35"/>
    <cellStyle name="Normal 7 2 2 2" xfId="65"/>
    <cellStyle name="Normal 7 2 2 2 2" xfId="113"/>
    <cellStyle name="Normal 7 2 2 3" xfId="112"/>
    <cellStyle name="Normal 7 2 3" xfId="57"/>
    <cellStyle name="Normal 7 2 3 2" xfId="114"/>
    <cellStyle name="Normal 7 2 4" xfId="43"/>
    <cellStyle name="Normal 7 2 4 2" xfId="115"/>
    <cellStyle name="Normal 7 2 5" xfId="111"/>
    <cellStyle name="Normal 7 2 6" xfId="125"/>
    <cellStyle name="Normal 7 3" xfId="34"/>
    <cellStyle name="Normal 7 3 2" xfId="64"/>
    <cellStyle name="Normal 7 3 2 2" xfId="117"/>
    <cellStyle name="Normal 7 3 3" xfId="116"/>
    <cellStyle name="Normal 7 4" xfId="56"/>
    <cellStyle name="Normal 7 4 2" xfId="118"/>
    <cellStyle name="Normal 7 5" xfId="42"/>
    <cellStyle name="Normal 7 5 2" xfId="119"/>
    <cellStyle name="Normal 7 6" xfId="110"/>
    <cellStyle name="Normal 7 7" xfId="124"/>
    <cellStyle name="Normal 8" xfId="67"/>
    <cellStyle name="Percent" xfId="127" builtinId="5"/>
    <cellStyle name="Standard 2" xfId="11"/>
    <cellStyle name="Standard 2 2" xfId="13"/>
    <cellStyle name="Standard 3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E813C"/>
      <color rgb="FFAEC067"/>
      <color rgb="FFFFFF99"/>
      <color rgb="FFCCFFCC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655112</xdr:colOff>
      <xdr:row>63</xdr:row>
      <xdr:rowOff>73699</xdr:rowOff>
    </xdr:from>
    <xdr:to>
      <xdr:col>6</xdr:col>
      <xdr:colOff>421576</xdr:colOff>
      <xdr:row>63</xdr:row>
      <xdr:rowOff>2029987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2862" y="13770649"/>
          <a:ext cx="5300489" cy="1956288"/>
        </a:xfrm>
        <a:prstGeom prst="rect">
          <a:avLst/>
        </a:prstGeom>
      </xdr:spPr>
    </xdr:pic>
    <xdr:clientData/>
  </xdr:twoCellAnchor>
  <xdr:twoCellAnchor>
    <xdr:from>
      <xdr:col>2</xdr:col>
      <xdr:colOff>997325</xdr:colOff>
      <xdr:row>244</xdr:row>
      <xdr:rowOff>694766</xdr:rowOff>
    </xdr:from>
    <xdr:to>
      <xdr:col>3</xdr:col>
      <xdr:colOff>2015221</xdr:colOff>
      <xdr:row>244</xdr:row>
      <xdr:rowOff>2633384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4950" y="60826091"/>
          <a:ext cx="2018021" cy="1938618"/>
        </a:xfrm>
        <a:prstGeom prst="rect">
          <a:avLst/>
        </a:prstGeom>
      </xdr:spPr>
    </xdr:pic>
    <xdr:clientData/>
  </xdr:twoCellAnchor>
  <xdr:twoCellAnchor>
    <xdr:from>
      <xdr:col>2</xdr:col>
      <xdr:colOff>969066</xdr:colOff>
      <xdr:row>64</xdr:row>
      <xdr:rowOff>107673</xdr:rowOff>
    </xdr:from>
    <xdr:to>
      <xdr:col>7</xdr:col>
      <xdr:colOff>74130</xdr:colOff>
      <xdr:row>64</xdr:row>
      <xdr:rowOff>2672797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266" y="15909648"/>
          <a:ext cx="6629814" cy="2565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67236</xdr:colOff>
      <xdr:row>244</xdr:row>
      <xdr:rowOff>414617</xdr:rowOff>
    </xdr:from>
    <xdr:to>
      <xdr:col>6</xdr:col>
      <xdr:colOff>819151</xdr:colOff>
      <xdr:row>244</xdr:row>
      <xdr:rowOff>3269316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207" y="50941941"/>
          <a:ext cx="2825003" cy="2854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2554940</xdr:colOff>
      <xdr:row>293</xdr:row>
      <xdr:rowOff>324972</xdr:rowOff>
    </xdr:from>
    <xdr:to>
      <xdr:col>5</xdr:col>
      <xdr:colOff>842681</xdr:colOff>
      <xdr:row>293</xdr:row>
      <xdr:rowOff>3208246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8293" y="63492531"/>
          <a:ext cx="2310653" cy="2883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655112</xdr:colOff>
      <xdr:row>73</xdr:row>
      <xdr:rowOff>73699</xdr:rowOff>
    </xdr:from>
    <xdr:to>
      <xdr:col>6</xdr:col>
      <xdr:colOff>421576</xdr:colOff>
      <xdr:row>73</xdr:row>
      <xdr:rowOff>2029987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553" y="3132905"/>
          <a:ext cx="5302170" cy="1956288"/>
        </a:xfrm>
        <a:prstGeom prst="rect">
          <a:avLst/>
        </a:prstGeom>
      </xdr:spPr>
    </xdr:pic>
    <xdr:clientData/>
  </xdr:twoCellAnchor>
  <xdr:twoCellAnchor>
    <xdr:from>
      <xdr:col>2</xdr:col>
      <xdr:colOff>997325</xdr:colOff>
      <xdr:row>293</xdr:row>
      <xdr:rowOff>694766</xdr:rowOff>
    </xdr:from>
    <xdr:to>
      <xdr:col>3</xdr:col>
      <xdr:colOff>2015221</xdr:colOff>
      <xdr:row>293</xdr:row>
      <xdr:rowOff>2633384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619" y="10511119"/>
          <a:ext cx="2060043" cy="1938618"/>
        </a:xfrm>
        <a:prstGeom prst="rect">
          <a:avLst/>
        </a:prstGeom>
      </xdr:spPr>
    </xdr:pic>
    <xdr:clientData/>
  </xdr:twoCellAnchor>
  <xdr:twoCellAnchor>
    <xdr:from>
      <xdr:col>3</xdr:col>
      <xdr:colOff>3160060</xdr:colOff>
      <xdr:row>293</xdr:row>
      <xdr:rowOff>224118</xdr:rowOff>
    </xdr:from>
    <xdr:to>
      <xdr:col>6</xdr:col>
      <xdr:colOff>585702</xdr:colOff>
      <xdr:row>293</xdr:row>
      <xdr:rowOff>3025588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1" y="10040471"/>
          <a:ext cx="2961348" cy="2801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2061882</xdr:colOff>
      <xdr:row>345</xdr:row>
      <xdr:rowOff>109728</xdr:rowOff>
    </xdr:from>
    <xdr:to>
      <xdr:col>5</xdr:col>
      <xdr:colOff>627529</xdr:colOff>
      <xdr:row>345</xdr:row>
      <xdr:rowOff>3506319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4323" y="63299699"/>
          <a:ext cx="2588559" cy="3396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969066</xdr:colOff>
      <xdr:row>74</xdr:row>
      <xdr:rowOff>107673</xdr:rowOff>
    </xdr:from>
    <xdr:to>
      <xdr:col>7</xdr:col>
      <xdr:colOff>74130</xdr:colOff>
      <xdr:row>74</xdr:row>
      <xdr:rowOff>2672797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3" y="5300869"/>
          <a:ext cx="6691934" cy="2565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85725</xdr:rowOff>
    </xdr:from>
    <xdr:to>
      <xdr:col>7</xdr:col>
      <xdr:colOff>1173745</xdr:colOff>
      <xdr:row>4</xdr:row>
      <xdr:rowOff>4905374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809625"/>
          <a:ext cx="9670045" cy="48196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47627</xdr:colOff>
      <xdr:row>4</xdr:row>
      <xdr:rowOff>257176</xdr:rowOff>
    </xdr:from>
    <xdr:to>
      <xdr:col>7</xdr:col>
      <xdr:colOff>1171576</xdr:colOff>
      <xdr:row>4</xdr:row>
      <xdr:rowOff>4759125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7" y="981076"/>
          <a:ext cx="9229724" cy="450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outlinePr summaryBelow="0" summaryRight="0"/>
  </sheetPr>
  <dimension ref="B1:AI360"/>
  <sheetViews>
    <sheetView topLeftCell="A199" zoomScale="85" zoomScaleNormal="85" zoomScaleSheetLayoutView="40" workbookViewId="0">
      <selection activeCell="I240" sqref="I240"/>
    </sheetView>
  </sheetViews>
  <sheetFormatPr defaultColWidth="11.5703125" defaultRowHeight="12.75" outlineLevelRow="2" x14ac:dyDescent="0.2"/>
  <cols>
    <col min="1" max="1" width="3.85546875" style="84" customWidth="1"/>
    <col min="2" max="2" width="5" style="85" customWidth="1"/>
    <col min="3" max="3" width="6.85546875" style="84" customWidth="1"/>
    <col min="4" max="4" width="51.85546875" style="84" customWidth="1"/>
    <col min="5" max="5" width="8.42578125" style="84" customWidth="1"/>
    <col min="6" max="6" width="22.7109375" style="84" bestFit="1" customWidth="1"/>
    <col min="7" max="7" width="15.28515625" style="84" customWidth="1"/>
    <col min="8" max="8" width="22.42578125" style="84" customWidth="1"/>
    <col min="9" max="9" width="51.85546875" style="84" customWidth="1"/>
    <col min="10" max="10" width="12" style="84" customWidth="1"/>
    <col min="11" max="11" width="10.42578125" style="84" bestFit="1" customWidth="1"/>
    <col min="12" max="12" width="8.42578125" style="84" bestFit="1" customWidth="1"/>
    <col min="13" max="13" width="10.42578125" style="84" bestFit="1" customWidth="1"/>
    <col min="14" max="14" width="8.42578125" style="84" bestFit="1" customWidth="1"/>
    <col min="15" max="16" width="9.42578125" style="84" bestFit="1" customWidth="1"/>
    <col min="17" max="17" width="11.7109375" style="84" bestFit="1" customWidth="1"/>
    <col min="18" max="19" width="10.42578125" style="84" bestFit="1" customWidth="1"/>
    <col min="20" max="20" width="11.42578125" style="84" customWidth="1"/>
    <col min="21" max="16384" width="11.5703125" style="84"/>
  </cols>
  <sheetData>
    <row r="1" spans="2:20" s="19" customFormat="1" ht="23.25" customHeight="1" x14ac:dyDescent="0.2">
      <c r="B1" s="202" t="s">
        <v>859</v>
      </c>
      <c r="C1" s="202"/>
      <c r="D1" s="202"/>
      <c r="E1" s="202"/>
      <c r="F1" s="202"/>
      <c r="G1" s="202"/>
      <c r="H1" s="202"/>
      <c r="I1" s="20"/>
      <c r="J1" s="20"/>
      <c r="K1" s="21"/>
      <c r="M1" s="22"/>
      <c r="N1" s="22"/>
      <c r="O1" s="22"/>
      <c r="P1" s="22"/>
      <c r="Q1" s="22"/>
      <c r="R1" s="22"/>
      <c r="S1" s="22"/>
      <c r="T1" s="22"/>
    </row>
    <row r="2" spans="2:20" s="19" customFormat="1" ht="13.5" thickBot="1" x14ac:dyDescent="0.25">
      <c r="E2" s="23"/>
      <c r="F2" s="22"/>
      <c r="L2" s="22"/>
      <c r="M2" s="22"/>
      <c r="N2" s="22"/>
      <c r="O2" s="22"/>
      <c r="P2" s="22"/>
      <c r="Q2" s="22"/>
      <c r="R2" s="22"/>
      <c r="S2" s="22"/>
      <c r="T2" s="22"/>
    </row>
    <row r="3" spans="2:20" s="19" customFormat="1" ht="15" thickBot="1" x14ac:dyDescent="0.25">
      <c r="B3" s="190" t="s">
        <v>79</v>
      </c>
      <c r="C3" s="191"/>
      <c r="D3" s="194"/>
      <c r="E3" s="195"/>
      <c r="F3" s="22"/>
      <c r="L3" s="22"/>
      <c r="M3" s="22"/>
      <c r="N3" s="22"/>
      <c r="O3" s="22"/>
      <c r="P3" s="22"/>
      <c r="Q3" s="22"/>
      <c r="R3" s="22"/>
      <c r="S3" s="22"/>
      <c r="T3" s="22"/>
    </row>
    <row r="4" spans="2:20" s="19" customFormat="1" ht="15" thickBot="1" x14ac:dyDescent="0.25">
      <c r="B4" s="190" t="s">
        <v>81</v>
      </c>
      <c r="C4" s="191"/>
      <c r="D4" s="194"/>
      <c r="E4" s="195"/>
      <c r="F4" s="22"/>
      <c r="L4" s="22"/>
      <c r="M4" s="22"/>
      <c r="N4" s="22"/>
      <c r="O4" s="22"/>
      <c r="P4" s="22"/>
      <c r="Q4" s="22"/>
      <c r="R4" s="22"/>
      <c r="S4" s="22"/>
      <c r="T4" s="22"/>
    </row>
    <row r="5" spans="2:20" s="19" customFormat="1" ht="15" thickBot="1" x14ac:dyDescent="0.25">
      <c r="B5" s="190" t="s">
        <v>176</v>
      </c>
      <c r="C5" s="191"/>
      <c r="D5" s="141" t="s">
        <v>857</v>
      </c>
      <c r="E5" s="142"/>
      <c r="F5" s="22"/>
      <c r="L5" s="22"/>
      <c r="M5" s="22"/>
      <c r="N5" s="22"/>
      <c r="O5" s="22"/>
      <c r="P5" s="22"/>
      <c r="Q5" s="22"/>
      <c r="R5" s="22"/>
      <c r="S5" s="22"/>
      <c r="T5" s="22"/>
    </row>
    <row r="6" spans="2:20" s="19" customFormat="1" ht="15" thickBot="1" x14ac:dyDescent="0.25">
      <c r="B6" s="190" t="s">
        <v>80</v>
      </c>
      <c r="C6" s="191"/>
      <c r="D6" s="192"/>
      <c r="E6" s="193"/>
      <c r="F6" s="22"/>
      <c r="L6" s="22"/>
      <c r="M6" s="22"/>
      <c r="N6" s="22"/>
      <c r="O6" s="22"/>
      <c r="P6" s="22"/>
      <c r="Q6" s="22"/>
      <c r="R6" s="22"/>
      <c r="S6" s="22"/>
      <c r="T6" s="22"/>
    </row>
    <row r="7" spans="2:20" s="19" customFormat="1" ht="15" thickBot="1" x14ac:dyDescent="0.25">
      <c r="B7" s="190" t="s">
        <v>183</v>
      </c>
      <c r="C7" s="191"/>
      <c r="D7" s="194"/>
      <c r="E7" s="195"/>
      <c r="F7" s="22"/>
      <c r="L7" s="22"/>
      <c r="M7" s="22"/>
      <c r="N7" s="22"/>
      <c r="O7" s="22"/>
      <c r="P7" s="22"/>
      <c r="Q7" s="22"/>
      <c r="R7" s="22"/>
      <c r="S7" s="22"/>
      <c r="T7" s="22"/>
    </row>
    <row r="8" spans="2:20" s="19" customFormat="1" x14ac:dyDescent="0.2">
      <c r="E8" s="23"/>
      <c r="F8" s="22"/>
      <c r="L8" s="22"/>
      <c r="M8" s="22"/>
      <c r="N8" s="22"/>
      <c r="O8" s="22"/>
      <c r="P8" s="22"/>
      <c r="Q8" s="22"/>
      <c r="R8" s="22"/>
      <c r="S8" s="22"/>
      <c r="T8" s="22"/>
    </row>
    <row r="9" spans="2:20" s="19" customFormat="1" ht="15" x14ac:dyDescent="0.2">
      <c r="B9" s="134" t="s">
        <v>628</v>
      </c>
      <c r="E9" s="23"/>
      <c r="F9" s="22"/>
      <c r="L9" s="22"/>
      <c r="M9" s="22"/>
      <c r="N9" s="22"/>
      <c r="O9" s="22"/>
      <c r="P9" s="22"/>
      <c r="Q9" s="22"/>
      <c r="R9" s="22"/>
      <c r="S9" s="22"/>
      <c r="T9" s="22"/>
    </row>
    <row r="10" spans="2:20" s="19" customFormat="1" ht="15" x14ac:dyDescent="0.2">
      <c r="B10" s="139" t="s">
        <v>71</v>
      </c>
      <c r="C10" s="140"/>
      <c r="D10" s="140"/>
      <c r="E10" s="21"/>
      <c r="F10" s="22"/>
      <c r="Q10" s="22"/>
      <c r="R10" s="22"/>
      <c r="S10" s="22"/>
      <c r="T10" s="22"/>
    </row>
    <row r="11" spans="2:20" s="19" customFormat="1" ht="15" x14ac:dyDescent="0.2">
      <c r="B11" s="185" t="s">
        <v>0</v>
      </c>
      <c r="C11" s="186"/>
      <c r="D11" s="186"/>
      <c r="E11" s="21"/>
      <c r="F11" s="22"/>
      <c r="Q11" s="22"/>
      <c r="R11" s="22"/>
      <c r="S11" s="22"/>
      <c r="T11" s="22"/>
    </row>
    <row r="12" spans="2:20" s="19" customFormat="1" ht="15" x14ac:dyDescent="0.2">
      <c r="B12" s="24" t="s">
        <v>564</v>
      </c>
      <c r="C12" s="25"/>
      <c r="D12" s="25"/>
      <c r="E12" s="21"/>
      <c r="F12" s="22"/>
      <c r="Q12" s="22"/>
      <c r="R12" s="22"/>
      <c r="S12" s="22"/>
      <c r="T12" s="22"/>
    </row>
    <row r="13" spans="2:20" s="19" customFormat="1" ht="15" x14ac:dyDescent="0.2">
      <c r="B13" s="24" t="s">
        <v>629</v>
      </c>
      <c r="C13" s="25"/>
      <c r="D13" s="25"/>
      <c r="E13" s="21"/>
      <c r="F13" s="22"/>
      <c r="Q13" s="22"/>
      <c r="R13" s="22"/>
      <c r="S13" s="22"/>
      <c r="T13" s="22"/>
    </row>
    <row r="14" spans="2:20" s="19" customFormat="1" ht="15" x14ac:dyDescent="0.2">
      <c r="B14" s="24" t="s">
        <v>850</v>
      </c>
      <c r="C14" s="25"/>
      <c r="D14" s="25"/>
      <c r="E14" s="21"/>
      <c r="F14" s="22"/>
      <c r="Q14" s="22"/>
      <c r="R14" s="22"/>
      <c r="S14" s="22"/>
      <c r="T14" s="22"/>
    </row>
    <row r="15" spans="2:20" s="19" customFormat="1" ht="15" x14ac:dyDescent="0.2">
      <c r="B15" s="20"/>
      <c r="C15" s="24"/>
      <c r="D15" s="27" t="s">
        <v>679</v>
      </c>
      <c r="E15" s="41" t="s">
        <v>677</v>
      </c>
      <c r="F15" s="41" t="s">
        <v>678</v>
      </c>
      <c r="G15" s="138" t="s">
        <v>1</v>
      </c>
      <c r="H15" s="27" t="s">
        <v>676</v>
      </c>
      <c r="Q15" s="22"/>
      <c r="R15" s="22"/>
      <c r="S15" s="22"/>
      <c r="T15" s="22"/>
    </row>
    <row r="16" spans="2:20" s="19" customFormat="1" ht="15" x14ac:dyDescent="0.2">
      <c r="B16" s="26" t="s">
        <v>554</v>
      </c>
      <c r="C16" s="24"/>
      <c r="D16" s="25"/>
      <c r="E16" s="25"/>
      <c r="F16" s="21"/>
      <c r="G16" s="22"/>
      <c r="Q16" s="22"/>
      <c r="R16" s="22"/>
      <c r="S16" s="22"/>
      <c r="T16" s="22"/>
    </row>
    <row r="17" spans="2:20" s="19" customFormat="1" outlineLevel="1" x14ac:dyDescent="0.2">
      <c r="B17" s="26"/>
      <c r="C17" s="27" t="s">
        <v>274</v>
      </c>
      <c r="D17" s="25"/>
      <c r="E17" s="25"/>
      <c r="F17" s="21"/>
      <c r="G17" s="22"/>
      <c r="Q17" s="22"/>
      <c r="R17" s="22"/>
      <c r="S17" s="22"/>
      <c r="T17" s="22"/>
    </row>
    <row r="18" spans="2:20" s="19" customFormat="1" ht="15.75" outlineLevel="2" x14ac:dyDescent="0.2">
      <c r="B18" s="26"/>
      <c r="C18" s="143" t="s">
        <v>2</v>
      </c>
      <c r="D18" s="143" t="s">
        <v>132</v>
      </c>
      <c r="E18" s="143"/>
      <c r="F18" s="144" t="s">
        <v>406</v>
      </c>
      <c r="G18" s="145" t="s">
        <v>3</v>
      </c>
      <c r="H18" s="146">
        <v>85</v>
      </c>
      <c r="I18" s="20"/>
      <c r="K18" s="20"/>
      <c r="L18" s="20"/>
      <c r="Q18" s="22"/>
      <c r="R18" s="22"/>
      <c r="S18" s="22"/>
      <c r="T18" s="22"/>
    </row>
    <row r="19" spans="2:20" s="19" customFormat="1" ht="15.75" outlineLevel="2" x14ac:dyDescent="0.2">
      <c r="B19" s="26"/>
      <c r="C19" s="143" t="s">
        <v>2</v>
      </c>
      <c r="D19" s="144" t="s">
        <v>131</v>
      </c>
      <c r="E19" s="144"/>
      <c r="F19" s="144" t="s">
        <v>407</v>
      </c>
      <c r="G19" s="145" t="s">
        <v>3</v>
      </c>
      <c r="H19" s="146">
        <v>330</v>
      </c>
      <c r="I19" s="20" t="s">
        <v>4</v>
      </c>
      <c r="K19" s="20"/>
      <c r="L19" s="20"/>
      <c r="Q19" s="22"/>
      <c r="R19" s="22"/>
      <c r="S19" s="22"/>
      <c r="T19" s="22"/>
    </row>
    <row r="20" spans="2:20" s="19" customFormat="1" ht="15.75" outlineLevel="2" x14ac:dyDescent="0.2">
      <c r="B20" s="26"/>
      <c r="C20" s="143" t="s">
        <v>2</v>
      </c>
      <c r="D20" s="143" t="s">
        <v>136</v>
      </c>
      <c r="E20" s="143"/>
      <c r="F20" s="144" t="s">
        <v>408</v>
      </c>
      <c r="G20" s="145" t="s">
        <v>7</v>
      </c>
      <c r="H20" s="146">
        <v>60</v>
      </c>
      <c r="I20" s="20" t="s">
        <v>4</v>
      </c>
      <c r="K20" s="20"/>
      <c r="L20" s="20"/>
      <c r="Q20" s="22"/>
      <c r="R20" s="22"/>
      <c r="S20" s="22"/>
      <c r="T20" s="22"/>
    </row>
    <row r="21" spans="2:20" s="19" customFormat="1" ht="15.75" outlineLevel="2" x14ac:dyDescent="0.2">
      <c r="B21" s="26"/>
      <c r="C21" s="143" t="s">
        <v>2</v>
      </c>
      <c r="D21" s="143" t="s">
        <v>264</v>
      </c>
      <c r="E21" s="143"/>
      <c r="F21" s="144" t="s">
        <v>409</v>
      </c>
      <c r="G21" s="145" t="s">
        <v>3</v>
      </c>
      <c r="H21" s="146">
        <v>27</v>
      </c>
      <c r="I21" s="20"/>
      <c r="K21" s="20"/>
      <c r="L21" s="20"/>
      <c r="Q21" s="22"/>
      <c r="R21" s="22"/>
      <c r="S21" s="22"/>
      <c r="T21" s="22"/>
    </row>
    <row r="22" spans="2:20" s="20" customFormat="1" outlineLevel="2" x14ac:dyDescent="0.2">
      <c r="B22" s="26"/>
      <c r="C22" s="28"/>
      <c r="D22" s="28"/>
      <c r="E22" s="28"/>
      <c r="F22" s="29"/>
      <c r="G22" s="30"/>
      <c r="H22" s="30"/>
      <c r="Q22" s="21"/>
      <c r="R22" s="21"/>
      <c r="S22" s="21"/>
      <c r="T22" s="21"/>
    </row>
    <row r="23" spans="2:20" s="20" customFormat="1" outlineLevel="1" x14ac:dyDescent="0.2">
      <c r="B23" s="26"/>
      <c r="C23" s="31" t="s">
        <v>355</v>
      </c>
      <c r="D23" s="28"/>
      <c r="E23" s="28"/>
      <c r="F23" s="29"/>
      <c r="G23" s="30"/>
      <c r="H23" s="30"/>
      <c r="Q23" s="21"/>
      <c r="R23" s="21"/>
      <c r="S23" s="21"/>
      <c r="T23" s="21"/>
    </row>
    <row r="24" spans="2:20" s="19" customFormat="1" ht="15.75" outlineLevel="2" x14ac:dyDescent="0.2">
      <c r="B24" s="26"/>
      <c r="C24" s="143" t="s">
        <v>2</v>
      </c>
      <c r="D24" s="143" t="s">
        <v>185</v>
      </c>
      <c r="E24" s="143"/>
      <c r="F24" s="144" t="s">
        <v>410</v>
      </c>
      <c r="G24" s="145" t="s">
        <v>3</v>
      </c>
      <c r="H24" s="146">
        <v>15</v>
      </c>
      <c r="I24" s="20" t="s">
        <v>4</v>
      </c>
      <c r="K24" s="20"/>
      <c r="L24" s="20"/>
      <c r="Q24" s="22"/>
      <c r="R24" s="22"/>
      <c r="S24" s="22"/>
      <c r="T24" s="22"/>
    </row>
    <row r="25" spans="2:20" s="19" customFormat="1" ht="15.75" outlineLevel="2" x14ac:dyDescent="0.2">
      <c r="B25" s="26"/>
      <c r="C25" s="143" t="s">
        <v>2</v>
      </c>
      <c r="D25" s="143" t="s">
        <v>262</v>
      </c>
      <c r="E25" s="143"/>
      <c r="F25" s="144" t="s">
        <v>411</v>
      </c>
      <c r="G25" s="145" t="s">
        <v>10</v>
      </c>
      <c r="H25" s="147">
        <v>0.96299999999999997</v>
      </c>
      <c r="I25" s="20"/>
      <c r="K25" s="20"/>
      <c r="L25" s="20"/>
      <c r="Q25" s="22"/>
      <c r="R25" s="22"/>
      <c r="S25" s="22"/>
      <c r="T25" s="22"/>
    </row>
    <row r="26" spans="2:20" s="19" customFormat="1" ht="15.75" outlineLevel="2" x14ac:dyDescent="0.2">
      <c r="B26" s="26"/>
      <c r="C26" s="143" t="s">
        <v>2</v>
      </c>
      <c r="D26" s="143" t="s">
        <v>265</v>
      </c>
      <c r="E26" s="143"/>
      <c r="F26" s="144" t="s">
        <v>412</v>
      </c>
      <c r="G26" s="145" t="s">
        <v>3</v>
      </c>
      <c r="H26" s="146">
        <v>0.6</v>
      </c>
      <c r="I26" s="20"/>
      <c r="K26" s="20"/>
      <c r="L26" s="20"/>
      <c r="Q26" s="22"/>
      <c r="R26" s="22"/>
      <c r="S26" s="22"/>
      <c r="T26" s="22"/>
    </row>
    <row r="27" spans="2:20" s="19" customFormat="1" ht="15.75" outlineLevel="2" x14ac:dyDescent="0.2">
      <c r="B27" s="26"/>
      <c r="C27" s="143" t="s">
        <v>2</v>
      </c>
      <c r="D27" s="143" t="s">
        <v>266</v>
      </c>
      <c r="E27" s="143"/>
      <c r="F27" s="144" t="s">
        <v>413</v>
      </c>
      <c r="G27" s="145" t="s">
        <v>3</v>
      </c>
      <c r="H27" s="146">
        <v>0.2</v>
      </c>
      <c r="I27" s="20"/>
      <c r="K27" s="20"/>
      <c r="L27" s="20"/>
      <c r="Q27" s="22"/>
      <c r="R27" s="22"/>
      <c r="S27" s="22"/>
      <c r="T27" s="22"/>
    </row>
    <row r="28" spans="2:20" s="19" customFormat="1" ht="15.75" outlineLevel="2" x14ac:dyDescent="0.2">
      <c r="B28" s="26"/>
      <c r="C28" s="167" t="s">
        <v>8</v>
      </c>
      <c r="D28" s="168" t="s">
        <v>271</v>
      </c>
      <c r="E28" s="168"/>
      <c r="F28" s="170" t="s">
        <v>414</v>
      </c>
      <c r="G28" s="165" t="s">
        <v>5</v>
      </c>
      <c r="H28" s="165">
        <f>H25*H24</f>
        <v>14.445</v>
      </c>
      <c r="I28" s="20"/>
      <c r="K28" s="20"/>
      <c r="L28" s="20"/>
      <c r="Q28" s="22"/>
      <c r="R28" s="22"/>
      <c r="S28" s="22"/>
      <c r="T28" s="22"/>
    </row>
    <row r="29" spans="2:20" s="20" customFormat="1" outlineLevel="2" x14ac:dyDescent="0.2">
      <c r="B29" s="26"/>
      <c r="C29" s="32"/>
      <c r="D29" s="28"/>
      <c r="E29" s="28"/>
      <c r="F29" s="29"/>
      <c r="G29" s="30"/>
      <c r="H29" s="18"/>
      <c r="Q29" s="21"/>
      <c r="R29" s="21"/>
      <c r="S29" s="21"/>
      <c r="T29" s="21"/>
    </row>
    <row r="30" spans="2:20" s="20" customFormat="1" outlineLevel="1" x14ac:dyDescent="0.2">
      <c r="B30" s="26"/>
      <c r="C30" s="31" t="s">
        <v>278</v>
      </c>
      <c r="D30" s="28"/>
      <c r="E30" s="28"/>
      <c r="F30" s="29"/>
      <c r="G30" s="30"/>
      <c r="H30" s="30"/>
      <c r="Q30" s="21"/>
      <c r="R30" s="21"/>
      <c r="S30" s="21"/>
      <c r="T30" s="21"/>
    </row>
    <row r="31" spans="2:20" s="19" customFormat="1" ht="15.75" outlineLevel="2" x14ac:dyDescent="0.2">
      <c r="B31" s="26"/>
      <c r="C31" s="143" t="s">
        <v>2</v>
      </c>
      <c r="D31" s="143" t="s">
        <v>139</v>
      </c>
      <c r="E31" s="143"/>
      <c r="F31" s="144" t="s">
        <v>145</v>
      </c>
      <c r="G31" s="145" t="s">
        <v>3</v>
      </c>
      <c r="H31" s="146">
        <v>14</v>
      </c>
      <c r="K31" s="20"/>
      <c r="L31" s="20"/>
    </row>
    <row r="32" spans="2:20" s="19" customFormat="1" ht="15.75" outlineLevel="2" x14ac:dyDescent="0.2">
      <c r="B32" s="26"/>
      <c r="C32" s="143" t="s">
        <v>2</v>
      </c>
      <c r="D32" s="143" t="s">
        <v>217</v>
      </c>
      <c r="E32" s="143"/>
      <c r="F32" s="144" t="s">
        <v>422</v>
      </c>
      <c r="G32" s="145" t="s">
        <v>3</v>
      </c>
      <c r="H32" s="146">
        <v>0.6</v>
      </c>
      <c r="I32" s="20" t="s">
        <v>4</v>
      </c>
      <c r="K32" s="20"/>
      <c r="L32" s="20"/>
      <c r="Q32" s="22"/>
      <c r="R32" s="22"/>
      <c r="S32" s="22"/>
      <c r="T32" s="22"/>
    </row>
    <row r="33" spans="2:20" s="20" customFormat="1" outlineLevel="2" x14ac:dyDescent="0.2">
      <c r="B33" s="26"/>
      <c r="C33" s="28"/>
      <c r="D33" s="28"/>
      <c r="E33" s="28"/>
      <c r="F33" s="29"/>
      <c r="G33" s="30"/>
      <c r="H33" s="30"/>
      <c r="Q33" s="21"/>
      <c r="R33" s="21"/>
      <c r="S33" s="21"/>
      <c r="T33" s="21"/>
    </row>
    <row r="34" spans="2:20" s="20" customFormat="1" outlineLevel="1" x14ac:dyDescent="0.2">
      <c r="B34" s="26"/>
      <c r="C34" s="31" t="s">
        <v>272</v>
      </c>
      <c r="D34" s="28"/>
      <c r="E34" s="28"/>
      <c r="F34" s="29"/>
      <c r="G34" s="30"/>
      <c r="H34" s="30"/>
      <c r="Q34" s="21"/>
      <c r="R34" s="21"/>
      <c r="S34" s="21"/>
      <c r="T34" s="21"/>
    </row>
    <row r="35" spans="2:20" s="19" customFormat="1" ht="13.5" outlineLevel="2" x14ac:dyDescent="0.2">
      <c r="B35" s="26"/>
      <c r="C35" s="143" t="s">
        <v>2</v>
      </c>
      <c r="D35" s="143" t="s">
        <v>6</v>
      </c>
      <c r="E35" s="143"/>
      <c r="F35" s="148" t="s">
        <v>135</v>
      </c>
      <c r="G35" s="145"/>
      <c r="H35" s="146">
        <v>0.83</v>
      </c>
      <c r="I35" s="20" t="s">
        <v>4</v>
      </c>
      <c r="K35" s="20"/>
      <c r="L35" s="20"/>
    </row>
    <row r="36" spans="2:20" s="19" customFormat="1" ht="15.75" outlineLevel="2" x14ac:dyDescent="0.2">
      <c r="B36" s="26"/>
      <c r="C36" s="167" t="s">
        <v>8</v>
      </c>
      <c r="D36" s="168" t="s">
        <v>133</v>
      </c>
      <c r="E36" s="168"/>
      <c r="F36" s="170" t="s">
        <v>423</v>
      </c>
      <c r="G36" s="165" t="s">
        <v>5</v>
      </c>
      <c r="H36" s="169">
        <f>H28</f>
        <v>14.445</v>
      </c>
      <c r="I36" s="20"/>
      <c r="K36" s="20"/>
      <c r="L36" s="20"/>
      <c r="Q36" s="22"/>
      <c r="R36" s="22"/>
      <c r="S36" s="22"/>
      <c r="T36" s="22"/>
    </row>
    <row r="37" spans="2:20" s="19" customFormat="1" ht="15.75" outlineLevel="2" x14ac:dyDescent="0.2">
      <c r="B37" s="26"/>
      <c r="C37" s="143" t="s">
        <v>2</v>
      </c>
      <c r="D37" s="143" t="s">
        <v>269</v>
      </c>
      <c r="E37" s="143"/>
      <c r="F37" s="144" t="s">
        <v>424</v>
      </c>
      <c r="G37" s="145" t="s">
        <v>5</v>
      </c>
      <c r="H37" s="149">
        <v>17</v>
      </c>
      <c r="I37" s="33" t="str">
        <f>IF(H37&lt;H36,"Caution! PoutMax should be higher than PoutNom","")</f>
        <v/>
      </c>
      <c r="K37" s="20"/>
      <c r="L37" s="20"/>
      <c r="Q37" s="22"/>
      <c r="R37" s="22"/>
      <c r="S37" s="22"/>
      <c r="T37" s="22"/>
    </row>
    <row r="38" spans="2:20" s="19" customFormat="1" ht="15.75" outlineLevel="2" x14ac:dyDescent="0.2">
      <c r="B38" s="26"/>
      <c r="C38" s="167" t="s">
        <v>8</v>
      </c>
      <c r="D38" s="170" t="s">
        <v>273</v>
      </c>
      <c r="E38" s="170"/>
      <c r="F38" s="168" t="s">
        <v>277</v>
      </c>
      <c r="G38" s="165" t="s">
        <v>5</v>
      </c>
      <c r="H38" s="169">
        <f>H37/H35</f>
        <v>20.481927710843376</v>
      </c>
      <c r="I38" s="20" t="s">
        <v>4</v>
      </c>
      <c r="K38" s="25"/>
      <c r="L38" s="20"/>
    </row>
    <row r="39" spans="2:20" s="19" customFormat="1" ht="15.75" outlineLevel="2" x14ac:dyDescent="0.2">
      <c r="B39" s="26"/>
      <c r="C39" s="143" t="s">
        <v>2</v>
      </c>
      <c r="D39" s="143" t="s">
        <v>134</v>
      </c>
      <c r="E39" s="143"/>
      <c r="F39" s="144" t="s">
        <v>425</v>
      </c>
      <c r="G39" s="145" t="s">
        <v>5</v>
      </c>
      <c r="H39" s="146">
        <v>2</v>
      </c>
      <c r="I39" s="20"/>
      <c r="K39" s="20"/>
      <c r="L39" s="20"/>
      <c r="Q39" s="22"/>
      <c r="R39" s="22"/>
      <c r="S39" s="22"/>
      <c r="T39" s="22"/>
    </row>
    <row r="40" spans="2:20" s="20" customFormat="1" outlineLevel="2" x14ac:dyDescent="0.2">
      <c r="B40" s="26"/>
      <c r="C40" s="28"/>
      <c r="D40" s="28"/>
      <c r="E40" s="28"/>
      <c r="F40" s="29"/>
      <c r="G40" s="30"/>
      <c r="H40" s="30"/>
      <c r="Q40" s="21"/>
      <c r="R40" s="21"/>
      <c r="S40" s="21"/>
      <c r="T40" s="21"/>
    </row>
    <row r="41" spans="2:20" s="20" customFormat="1" outlineLevel="1" x14ac:dyDescent="0.2">
      <c r="B41" s="26"/>
      <c r="C41" s="34" t="s">
        <v>556</v>
      </c>
      <c r="D41" s="28"/>
      <c r="E41" s="28"/>
      <c r="F41" s="29"/>
      <c r="G41" s="30"/>
      <c r="H41" s="30"/>
      <c r="Q41" s="21"/>
      <c r="R41" s="21"/>
      <c r="S41" s="21"/>
      <c r="T41" s="21"/>
    </row>
    <row r="42" spans="2:20" s="19" customFormat="1" ht="14.25" outlineLevel="2" x14ac:dyDescent="0.2">
      <c r="B42" s="26"/>
      <c r="C42" s="168"/>
      <c r="D42" s="170" t="s">
        <v>858</v>
      </c>
      <c r="E42" s="170"/>
      <c r="F42" s="170"/>
      <c r="G42" s="165"/>
      <c r="H42" s="165" t="str">
        <f>D5</f>
        <v>ICE5AR4780BZS</v>
      </c>
      <c r="I42" s="20" t="s">
        <v>4</v>
      </c>
      <c r="K42" s="20"/>
      <c r="L42" s="20"/>
      <c r="Q42" s="22"/>
      <c r="R42" s="22"/>
      <c r="S42" s="22"/>
      <c r="T42" s="22"/>
    </row>
    <row r="43" spans="2:20" s="19" customFormat="1" ht="15.75" outlineLevel="2" x14ac:dyDescent="0.2">
      <c r="B43" s="26"/>
      <c r="C43" s="143" t="s">
        <v>2</v>
      </c>
      <c r="D43" s="143" t="s">
        <v>216</v>
      </c>
      <c r="E43" s="143"/>
      <c r="F43" s="144" t="s">
        <v>426</v>
      </c>
      <c r="G43" s="145" t="s">
        <v>7</v>
      </c>
      <c r="H43" s="146">
        <v>100000</v>
      </c>
      <c r="I43" s="20" t="s">
        <v>4</v>
      </c>
      <c r="K43" s="20"/>
      <c r="L43" s="20"/>
      <c r="Q43" s="22"/>
      <c r="R43" s="22"/>
      <c r="S43" s="22"/>
      <c r="T43" s="22"/>
    </row>
    <row r="44" spans="2:20" s="19" customFormat="1" ht="15.75" outlineLevel="2" x14ac:dyDescent="0.2">
      <c r="B44" s="26"/>
      <c r="C44" s="143" t="s">
        <v>2</v>
      </c>
      <c r="D44" s="143" t="s">
        <v>213</v>
      </c>
      <c r="E44" s="143"/>
      <c r="F44" s="144" t="s">
        <v>427</v>
      </c>
      <c r="G44" s="145" t="s">
        <v>3</v>
      </c>
      <c r="H44" s="146">
        <v>700</v>
      </c>
      <c r="K44" s="20"/>
      <c r="L44" s="20"/>
    </row>
    <row r="45" spans="2:20" s="19" customFormat="1" ht="15.75" outlineLevel="2" x14ac:dyDescent="0.2">
      <c r="B45" s="26"/>
      <c r="C45" s="143" t="s">
        <v>2</v>
      </c>
      <c r="D45" s="143" t="s">
        <v>363</v>
      </c>
      <c r="E45" s="143"/>
      <c r="F45" s="144" t="s">
        <v>428</v>
      </c>
      <c r="G45" s="145" t="s">
        <v>138</v>
      </c>
      <c r="H45" s="146">
        <v>50</v>
      </c>
      <c r="K45" s="20"/>
      <c r="L45" s="20"/>
    </row>
    <row r="46" spans="2:20" s="20" customFormat="1" outlineLevel="2" x14ac:dyDescent="0.2">
      <c r="B46" s="26"/>
      <c r="C46" s="28"/>
      <c r="D46" s="28"/>
      <c r="E46" s="28"/>
      <c r="F46" s="29"/>
      <c r="G46" s="30"/>
      <c r="H46" s="30"/>
    </row>
    <row r="47" spans="2:20" s="19" customFormat="1" x14ac:dyDescent="0.2">
      <c r="B47" s="26" t="s">
        <v>372</v>
      </c>
      <c r="F47" s="23"/>
      <c r="G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2:20" s="20" customFormat="1" outlineLevel="1" x14ac:dyDescent="0.2">
      <c r="B48" s="26"/>
      <c r="C48" s="34" t="s">
        <v>279</v>
      </c>
      <c r="D48" s="28"/>
      <c r="E48" s="28"/>
      <c r="F48" s="29"/>
      <c r="G48" s="30"/>
      <c r="H48" s="30"/>
      <c r="Q48" s="21"/>
      <c r="R48" s="21"/>
      <c r="S48" s="21"/>
      <c r="T48" s="21"/>
    </row>
    <row r="49" spans="2:20" s="19" customFormat="1" outlineLevel="2" x14ac:dyDescent="0.2">
      <c r="B49" s="26"/>
      <c r="C49" s="143" t="s">
        <v>2</v>
      </c>
      <c r="D49" s="143" t="s">
        <v>680</v>
      </c>
      <c r="E49" s="143"/>
      <c r="F49" s="144" t="s">
        <v>681</v>
      </c>
      <c r="G49" s="145"/>
      <c r="H49" s="146">
        <v>0.6</v>
      </c>
      <c r="J49" s="20"/>
      <c r="K49" s="20"/>
      <c r="P49" s="22"/>
      <c r="Q49" s="22"/>
      <c r="R49" s="22"/>
      <c r="S49" s="22"/>
    </row>
    <row r="50" spans="2:20" s="19" customFormat="1" ht="15.75" outlineLevel="2" x14ac:dyDescent="0.2">
      <c r="B50" s="26"/>
      <c r="C50" s="167" t="s">
        <v>8</v>
      </c>
      <c r="D50" s="170" t="s">
        <v>285</v>
      </c>
      <c r="E50" s="170"/>
      <c r="F50" s="168" t="s">
        <v>292</v>
      </c>
      <c r="G50" s="165" t="s">
        <v>10</v>
      </c>
      <c r="H50" s="171">
        <f>H38/H18/H49</f>
        <v>0.4016064257028113</v>
      </c>
      <c r="I50" s="35"/>
      <c r="K50" s="25"/>
      <c r="L50" s="20"/>
    </row>
    <row r="51" spans="2:20" s="19" customFormat="1" ht="15.75" outlineLevel="2" x14ac:dyDescent="0.2">
      <c r="B51" s="26"/>
      <c r="C51" s="167" t="s">
        <v>8</v>
      </c>
      <c r="D51" s="170" t="s">
        <v>429</v>
      </c>
      <c r="E51" s="170"/>
      <c r="F51" s="168" t="s">
        <v>280</v>
      </c>
      <c r="G51" s="165" t="s">
        <v>3</v>
      </c>
      <c r="H51" s="169">
        <f>H$19*SQRT(2)</f>
        <v>466.69047558312138</v>
      </c>
      <c r="I51" s="20"/>
      <c r="K51" s="25"/>
      <c r="L51" s="20"/>
    </row>
    <row r="52" spans="2:20" s="20" customFormat="1" outlineLevel="2" x14ac:dyDescent="0.2">
      <c r="B52" s="26"/>
      <c r="C52" s="32"/>
      <c r="D52" s="29"/>
      <c r="E52" s="29"/>
      <c r="F52" s="28"/>
      <c r="G52" s="30"/>
      <c r="H52" s="18"/>
      <c r="K52" s="25"/>
    </row>
    <row r="53" spans="2:20" s="20" customFormat="1" outlineLevel="1" x14ac:dyDescent="0.2">
      <c r="B53" s="26"/>
      <c r="C53" s="34" t="s">
        <v>281</v>
      </c>
      <c r="D53" s="28"/>
      <c r="E53" s="28"/>
      <c r="F53" s="29"/>
      <c r="G53" s="30"/>
      <c r="H53" s="30"/>
      <c r="Q53" s="21"/>
      <c r="R53" s="21"/>
      <c r="S53" s="21"/>
      <c r="T53" s="21"/>
    </row>
    <row r="54" spans="2:20" s="19" customFormat="1" ht="15.75" outlineLevel="2" x14ac:dyDescent="0.2">
      <c r="B54" s="26"/>
      <c r="C54" s="167" t="s">
        <v>8</v>
      </c>
      <c r="D54" s="170" t="s">
        <v>430</v>
      </c>
      <c r="E54" s="170"/>
      <c r="F54" s="168" t="s">
        <v>282</v>
      </c>
      <c r="G54" s="165" t="s">
        <v>3</v>
      </c>
      <c r="H54" s="169">
        <f>H18*SQRT(2)</f>
        <v>120.20815280171308</v>
      </c>
    </row>
    <row r="55" spans="2:20" s="19" customFormat="1" ht="15.75" outlineLevel="2" x14ac:dyDescent="0.2">
      <c r="B55" s="26"/>
      <c r="C55" s="167" t="s">
        <v>8</v>
      </c>
      <c r="D55" s="170" t="s">
        <v>286</v>
      </c>
      <c r="E55" s="170"/>
      <c r="F55" s="168" t="s">
        <v>283</v>
      </c>
      <c r="G55" s="165" t="s">
        <v>3</v>
      </c>
      <c r="H55" s="169">
        <f>(H54-H21)</f>
        <v>93.208152801713084</v>
      </c>
    </row>
    <row r="56" spans="2:20" s="19" customFormat="1" ht="15.75" outlineLevel="2" x14ac:dyDescent="0.2">
      <c r="B56" s="26"/>
      <c r="C56" s="167" t="s">
        <v>8</v>
      </c>
      <c r="D56" s="170" t="s">
        <v>287</v>
      </c>
      <c r="E56" s="170"/>
      <c r="F56" s="168" t="s">
        <v>113</v>
      </c>
      <c r="G56" s="165" t="s">
        <v>11</v>
      </c>
      <c r="H56" s="169">
        <f>(1000/(4*H20))*(1+(ASIN((H54-H21)/H54)*180/PI()/90))</f>
        <v>6.5203874714973011</v>
      </c>
      <c r="I56" s="20" t="s">
        <v>4</v>
      </c>
      <c r="K56" s="25"/>
      <c r="L56" s="20"/>
    </row>
    <row r="57" spans="2:20" s="19" customFormat="1" ht="15.75" outlineLevel="2" x14ac:dyDescent="0.2">
      <c r="B57" s="26"/>
      <c r="C57" s="167" t="s">
        <v>8</v>
      </c>
      <c r="D57" s="170" t="s">
        <v>288</v>
      </c>
      <c r="E57" s="170"/>
      <c r="F57" s="168" t="s">
        <v>140</v>
      </c>
      <c r="G57" s="165" t="s">
        <v>12</v>
      </c>
      <c r="H57" s="169">
        <f>H38*H56/1000</f>
        <v>0.13355010483789656</v>
      </c>
      <c r="I57" s="20"/>
      <c r="K57" s="25"/>
      <c r="L57" s="20"/>
    </row>
    <row r="58" spans="2:20" s="19" customFormat="1" ht="15.75" outlineLevel="2" x14ac:dyDescent="0.2">
      <c r="B58" s="26"/>
      <c r="C58" s="167" t="s">
        <v>8</v>
      </c>
      <c r="D58" s="170" t="s">
        <v>289</v>
      </c>
      <c r="E58" s="170"/>
      <c r="F58" s="168" t="s">
        <v>284</v>
      </c>
      <c r="G58" s="165" t="s">
        <v>9</v>
      </c>
      <c r="H58" s="169">
        <f>(2*H57/(H54^2-(H54-H21)^2))*1000000</f>
        <v>46.353535782525</v>
      </c>
      <c r="K58" s="25"/>
      <c r="L58" s="20"/>
    </row>
    <row r="59" spans="2:20" s="19" customFormat="1" ht="15.75" outlineLevel="2" x14ac:dyDescent="0.2">
      <c r="B59" s="26"/>
      <c r="C59" s="143" t="s">
        <v>2</v>
      </c>
      <c r="D59" s="143" t="s">
        <v>647</v>
      </c>
      <c r="E59" s="143"/>
      <c r="F59" s="143" t="s">
        <v>431</v>
      </c>
      <c r="G59" s="145" t="s">
        <v>9</v>
      </c>
      <c r="H59" s="150">
        <v>47</v>
      </c>
      <c r="K59" s="25"/>
      <c r="L59" s="20"/>
    </row>
    <row r="60" spans="2:20" s="19" customFormat="1" ht="15.75" outlineLevel="2" x14ac:dyDescent="0.2">
      <c r="B60" s="26"/>
      <c r="C60" s="167" t="s">
        <v>8</v>
      </c>
      <c r="D60" s="170" t="s">
        <v>290</v>
      </c>
      <c r="E60" s="170"/>
      <c r="F60" s="168" t="s">
        <v>291</v>
      </c>
      <c r="G60" s="165" t="s">
        <v>3</v>
      </c>
      <c r="H60" s="169">
        <f>SQRT(H54^2-2*H57/(H59*0.000001))</f>
        <v>93.632349193046835</v>
      </c>
      <c r="I60" s="36"/>
      <c r="K60" s="25"/>
      <c r="L60" s="20"/>
    </row>
    <row r="61" spans="2:20" s="20" customFormat="1" outlineLevel="2" x14ac:dyDescent="0.2">
      <c r="B61" s="26"/>
      <c r="C61" s="32"/>
      <c r="D61" s="29"/>
      <c r="E61" s="29"/>
      <c r="F61" s="28"/>
      <c r="G61" s="30"/>
      <c r="H61" s="18"/>
      <c r="I61" s="36"/>
      <c r="K61" s="25"/>
    </row>
    <row r="62" spans="2:20" s="19" customFormat="1" x14ac:dyDescent="0.2">
      <c r="B62" s="37" t="s">
        <v>379</v>
      </c>
      <c r="F62" s="22"/>
    </row>
    <row r="63" spans="2:20" s="19" customFormat="1" ht="13.5" outlineLevel="1" thickBot="1" x14ac:dyDescent="0.25">
      <c r="B63" s="26"/>
      <c r="C63" s="27" t="s">
        <v>377</v>
      </c>
      <c r="G63" s="23"/>
      <c r="H63" s="38"/>
      <c r="M63" s="39"/>
      <c r="N63" s="39"/>
    </row>
    <row r="64" spans="2:20" s="19" customFormat="1" ht="165.75" customHeight="1" outlineLevel="2" thickBot="1" x14ac:dyDescent="0.25">
      <c r="B64" s="26"/>
      <c r="C64" s="196"/>
      <c r="D64" s="197"/>
      <c r="E64" s="197"/>
      <c r="F64" s="197"/>
      <c r="G64" s="197"/>
      <c r="H64" s="198"/>
      <c r="I64" s="20"/>
      <c r="K64" s="20"/>
      <c r="L64" s="20"/>
    </row>
    <row r="65" spans="2:35" s="19" customFormat="1" ht="216.75" customHeight="1" outlineLevel="2" thickBot="1" x14ac:dyDescent="0.25">
      <c r="B65" s="26"/>
      <c r="C65" s="199"/>
      <c r="D65" s="200"/>
      <c r="E65" s="200"/>
      <c r="F65" s="200"/>
      <c r="G65" s="200"/>
      <c r="H65" s="201"/>
    </row>
    <row r="66" spans="2:35" s="20" customFormat="1" outlineLevel="2" x14ac:dyDescent="0.2">
      <c r="B66" s="26"/>
      <c r="C66" s="29"/>
      <c r="D66" s="28"/>
      <c r="E66" s="28"/>
      <c r="F66" s="28"/>
      <c r="G66" s="28"/>
      <c r="H66" s="28"/>
    </row>
    <row r="67" spans="2:35" s="19" customFormat="1" outlineLevel="1" x14ac:dyDescent="0.2">
      <c r="B67" s="26"/>
      <c r="C67" s="27" t="s">
        <v>373</v>
      </c>
      <c r="G67" s="23"/>
      <c r="H67" s="38"/>
      <c r="M67" s="39"/>
      <c r="N67" s="39"/>
    </row>
    <row r="68" spans="2:35" s="19" customFormat="1" ht="15.75" outlineLevel="2" x14ac:dyDescent="0.2">
      <c r="B68" s="26"/>
      <c r="C68" s="143" t="s">
        <v>2</v>
      </c>
      <c r="D68" s="143" t="s">
        <v>137</v>
      </c>
      <c r="E68" s="143"/>
      <c r="F68" s="144" t="s">
        <v>432</v>
      </c>
      <c r="G68" s="145" t="s">
        <v>3</v>
      </c>
      <c r="H68" s="146">
        <v>97.5</v>
      </c>
      <c r="I68" s="20"/>
      <c r="K68" s="20"/>
      <c r="L68" s="20"/>
    </row>
    <row r="69" spans="2:35" s="19" customFormat="1" ht="15.75" outlineLevel="2" x14ac:dyDescent="0.2">
      <c r="B69" s="26"/>
      <c r="C69" s="167" t="s">
        <v>8</v>
      </c>
      <c r="D69" s="170" t="s">
        <v>293</v>
      </c>
      <c r="E69" s="170"/>
      <c r="F69" s="168" t="s">
        <v>157</v>
      </c>
      <c r="G69" s="165"/>
      <c r="H69" s="169">
        <f>H68/(H68+H60)</f>
        <v>0.51011772947719802</v>
      </c>
      <c r="I69" s="20"/>
      <c r="K69" s="25"/>
      <c r="L69" s="20"/>
    </row>
    <row r="70" spans="2:35" s="19" customFormat="1" ht="15.75" outlineLevel="2" x14ac:dyDescent="0.2">
      <c r="B70" s="26"/>
      <c r="C70" s="151" t="s">
        <v>2</v>
      </c>
      <c r="D70" s="151" t="s">
        <v>294</v>
      </c>
      <c r="E70" s="151"/>
      <c r="F70" s="151" t="s">
        <v>433</v>
      </c>
      <c r="G70" s="152"/>
      <c r="H70" s="153">
        <v>1</v>
      </c>
      <c r="I70" s="40"/>
    </row>
    <row r="71" spans="2:35" s="19" customFormat="1" ht="15.75" outlineLevel="2" x14ac:dyDescent="0.2">
      <c r="B71" s="41"/>
      <c r="C71" s="167" t="s">
        <v>8</v>
      </c>
      <c r="D71" s="170" t="s">
        <v>295</v>
      </c>
      <c r="E71" s="170"/>
      <c r="F71" s="168" t="s">
        <v>114</v>
      </c>
      <c r="G71" s="165" t="s">
        <v>13</v>
      </c>
      <c r="H71" s="178">
        <f>(H60*H69)^2/(2*H38*H43*H70)</f>
        <v>5.5691876429806797E-4</v>
      </c>
    </row>
    <row r="72" spans="2:35" s="19" customFormat="1" ht="15.75" outlineLevel="2" x14ac:dyDescent="0.2">
      <c r="B72" s="41"/>
      <c r="C72" s="167" t="s">
        <v>8</v>
      </c>
      <c r="D72" s="170" t="s">
        <v>321</v>
      </c>
      <c r="E72" s="170"/>
      <c r="F72" s="168" t="s">
        <v>141</v>
      </c>
      <c r="G72" s="165" t="s">
        <v>10</v>
      </c>
      <c r="H72" s="169">
        <f>H38/(H60*H69)</f>
        <v>0.42881946558376105</v>
      </c>
    </row>
    <row r="73" spans="2:35" s="19" customFormat="1" outlineLevel="2" x14ac:dyDescent="0.2">
      <c r="B73" s="26"/>
      <c r="C73" s="167" t="s">
        <v>8</v>
      </c>
      <c r="D73" s="170" t="s">
        <v>296</v>
      </c>
      <c r="E73" s="170"/>
      <c r="F73" s="168" t="s">
        <v>142</v>
      </c>
      <c r="G73" s="165" t="s">
        <v>10</v>
      </c>
      <c r="H73" s="169">
        <f>H60*H69/(H71*H43)</f>
        <v>0.85763893116752188</v>
      </c>
      <c r="K73" s="20"/>
      <c r="L73" s="20"/>
    </row>
    <row r="74" spans="2:35" s="19" customFormat="1" ht="15.75" outlineLevel="2" x14ac:dyDescent="0.2">
      <c r="B74" s="26"/>
      <c r="C74" s="167" t="s">
        <v>8</v>
      </c>
      <c r="D74" s="170" t="s">
        <v>297</v>
      </c>
      <c r="E74" s="170"/>
      <c r="F74" s="168" t="s">
        <v>315</v>
      </c>
      <c r="G74" s="165" t="s">
        <v>10</v>
      </c>
      <c r="H74" s="169">
        <f>H72+(H73/2)</f>
        <v>0.85763893116752199</v>
      </c>
      <c r="K74" s="20"/>
      <c r="L74" s="20"/>
    </row>
    <row r="75" spans="2:35" s="19" customFormat="1" ht="15.75" outlineLevel="2" x14ac:dyDescent="0.2">
      <c r="B75" s="26"/>
      <c r="C75" s="167" t="s">
        <v>8</v>
      </c>
      <c r="D75" s="170" t="s">
        <v>298</v>
      </c>
      <c r="E75" s="170"/>
      <c r="F75" s="168" t="s">
        <v>143</v>
      </c>
      <c r="G75" s="165" t="s">
        <v>10</v>
      </c>
      <c r="H75" s="169">
        <f>H74-H73</f>
        <v>0</v>
      </c>
      <c r="K75" s="20"/>
      <c r="L75" s="20"/>
    </row>
    <row r="76" spans="2:35" s="19" customFormat="1" ht="15.75" outlineLevel="2" x14ac:dyDescent="0.2">
      <c r="B76" s="26"/>
      <c r="C76" s="167" t="s">
        <v>8</v>
      </c>
      <c r="D76" s="170" t="s">
        <v>299</v>
      </c>
      <c r="E76" s="170"/>
      <c r="F76" s="168" t="s">
        <v>316</v>
      </c>
      <c r="G76" s="165" t="s">
        <v>10</v>
      </c>
      <c r="H76" s="171">
        <f>SQRT((3*H72^2+(H73/2)^2)*H69/3)</f>
        <v>0.35365440228342299</v>
      </c>
      <c r="K76" s="20"/>
    </row>
    <row r="77" spans="2:35" s="20" customFormat="1" outlineLevel="2" x14ac:dyDescent="0.2">
      <c r="B77" s="26"/>
      <c r="C77" s="42"/>
      <c r="D77" s="29"/>
      <c r="E77" s="29"/>
      <c r="F77" s="43"/>
      <c r="G77" s="44"/>
      <c r="H77" s="45"/>
    </row>
    <row r="78" spans="2:35" s="19" customFormat="1" outlineLevel="1" x14ac:dyDescent="0.2">
      <c r="B78" s="26"/>
      <c r="C78" s="27" t="s">
        <v>147</v>
      </c>
      <c r="G78" s="23"/>
      <c r="H78" s="38"/>
      <c r="M78" s="39"/>
      <c r="N78" s="39"/>
    </row>
    <row r="79" spans="2:35" s="19" customFormat="1" ht="13.5" outlineLevel="2" thickBot="1" x14ac:dyDescent="0.25">
      <c r="B79" s="26"/>
      <c r="C79" s="143" t="s">
        <v>2</v>
      </c>
      <c r="D79" s="144" t="s">
        <v>147</v>
      </c>
      <c r="E79" s="144"/>
      <c r="F79" s="143"/>
      <c r="G79" s="145"/>
      <c r="H79" s="146">
        <v>1</v>
      </c>
      <c r="I79" s="20"/>
      <c r="J79" s="20"/>
      <c r="K79" s="46">
        <v>1</v>
      </c>
      <c r="L79" s="46">
        <v>2</v>
      </c>
      <c r="M79" s="46">
        <v>3</v>
      </c>
      <c r="N79" s="46">
        <v>4</v>
      </c>
      <c r="O79" s="46">
        <v>5</v>
      </c>
      <c r="P79" s="46">
        <v>6</v>
      </c>
      <c r="Q79" s="46">
        <v>7</v>
      </c>
      <c r="R79" s="46">
        <v>8</v>
      </c>
      <c r="S79" s="46">
        <v>9</v>
      </c>
      <c r="T79" s="47">
        <v>10</v>
      </c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2:35" s="19" customFormat="1" outlineLevel="2" x14ac:dyDescent="0.2">
      <c r="B80" s="26"/>
      <c r="C80" s="167" t="s">
        <v>8</v>
      </c>
      <c r="D80" s="168" t="s">
        <v>60</v>
      </c>
      <c r="E80" s="168"/>
      <c r="F80" s="168"/>
      <c r="G80" s="165"/>
      <c r="H80" s="175" t="str">
        <f t="shared" ref="H80:H86" si="0">IF($H$79=1,K80,IF($H$79=2,L80,IF($H$79=3,M80,IF($H$79=4,N80,IF($H$79=5,O80,IF($H$79=6,P80,IF($H$79=7,Q80,IF($H$79=8,R80,IF($H$79=9,S80,IF($H$79&gt;=10,T80))))))))))</f>
        <v>EE20/10/6</v>
      </c>
      <c r="I80" s="48"/>
      <c r="J80" s="49" t="s">
        <v>60</v>
      </c>
      <c r="K80" s="50" t="s">
        <v>177</v>
      </c>
      <c r="L80" s="50" t="s">
        <v>14</v>
      </c>
      <c r="M80" s="51" t="s">
        <v>15</v>
      </c>
      <c r="N80" s="51" t="s">
        <v>16</v>
      </c>
      <c r="O80" s="51" t="s">
        <v>17</v>
      </c>
      <c r="P80" s="51" t="s">
        <v>18</v>
      </c>
      <c r="Q80" s="51" t="s">
        <v>90</v>
      </c>
      <c r="R80" s="52" t="s">
        <v>214</v>
      </c>
      <c r="S80" s="52" t="s">
        <v>215</v>
      </c>
      <c r="T80" s="154"/>
      <c r="W80" s="53"/>
      <c r="X80" s="48"/>
      <c r="Y80" s="48"/>
      <c r="Z80" s="30"/>
      <c r="AA80" s="30"/>
      <c r="AB80" s="30"/>
      <c r="AC80" s="30"/>
      <c r="AD80" s="54"/>
      <c r="AE80" s="54"/>
      <c r="AF80" s="54"/>
      <c r="AG80" s="54"/>
      <c r="AH80" s="54"/>
      <c r="AI80" s="54"/>
    </row>
    <row r="81" spans="2:35" s="19" customFormat="1" outlineLevel="2" x14ac:dyDescent="0.2">
      <c r="B81" s="26"/>
      <c r="C81" s="167" t="s">
        <v>8</v>
      </c>
      <c r="D81" s="168" t="s">
        <v>72</v>
      </c>
      <c r="E81" s="168"/>
      <c r="F81" s="168"/>
      <c r="G81" s="165"/>
      <c r="H81" s="175" t="str">
        <f t="shared" si="0"/>
        <v>TP4A(TDG)</v>
      </c>
      <c r="I81" s="48"/>
      <c r="J81" s="55" t="s">
        <v>72</v>
      </c>
      <c r="K81" s="56" t="s">
        <v>178</v>
      </c>
      <c r="L81" s="56" t="s">
        <v>104</v>
      </c>
      <c r="M81" s="57" t="s">
        <v>178</v>
      </c>
      <c r="N81" s="56" t="s">
        <v>104</v>
      </c>
      <c r="O81" s="56" t="s">
        <v>104</v>
      </c>
      <c r="P81" s="56" t="s">
        <v>104</v>
      </c>
      <c r="Q81" s="56" t="s">
        <v>104</v>
      </c>
      <c r="R81" s="57" t="s">
        <v>178</v>
      </c>
      <c r="S81" s="57" t="s">
        <v>178</v>
      </c>
      <c r="T81" s="155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2:35" s="19" customFormat="1" ht="19.5" outlineLevel="2" x14ac:dyDescent="0.2">
      <c r="B82" s="26"/>
      <c r="C82" s="167" t="s">
        <v>8</v>
      </c>
      <c r="D82" s="170" t="s">
        <v>167</v>
      </c>
      <c r="E82" s="170"/>
      <c r="F82" s="179" t="s">
        <v>166</v>
      </c>
      <c r="G82" s="165" t="s">
        <v>25</v>
      </c>
      <c r="H82" s="175">
        <f t="shared" si="0"/>
        <v>0.2</v>
      </c>
      <c r="I82" s="48"/>
      <c r="J82" s="55" t="s">
        <v>26</v>
      </c>
      <c r="K82" s="30">
        <v>0.2</v>
      </c>
      <c r="L82" s="30">
        <v>0.2</v>
      </c>
      <c r="M82" s="30">
        <v>0.25</v>
      </c>
      <c r="N82" s="30">
        <v>0.2</v>
      </c>
      <c r="O82" s="30">
        <v>0.2</v>
      </c>
      <c r="P82" s="30">
        <v>0.2</v>
      </c>
      <c r="Q82" s="30">
        <v>0.2</v>
      </c>
      <c r="R82" s="30">
        <v>0.2</v>
      </c>
      <c r="S82" s="30">
        <v>0.2</v>
      </c>
      <c r="T82" s="155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2:35" s="19" customFormat="1" ht="15.75" outlineLevel="2" x14ac:dyDescent="0.2">
      <c r="B83" s="26"/>
      <c r="C83" s="167" t="s">
        <v>8</v>
      </c>
      <c r="D83" s="170" t="s">
        <v>231</v>
      </c>
      <c r="E83" s="170"/>
      <c r="F83" s="179" t="s">
        <v>168</v>
      </c>
      <c r="G83" s="165" t="s">
        <v>24</v>
      </c>
      <c r="H83" s="175">
        <f t="shared" si="0"/>
        <v>32</v>
      </c>
      <c r="I83" s="48"/>
      <c r="J83" s="55" t="s">
        <v>23</v>
      </c>
      <c r="K83" s="58">
        <v>32</v>
      </c>
      <c r="L83" s="58">
        <v>52</v>
      </c>
      <c r="M83" s="58">
        <v>59</v>
      </c>
      <c r="N83" s="58">
        <v>83</v>
      </c>
      <c r="O83" s="58">
        <v>120</v>
      </c>
      <c r="P83" s="58">
        <v>178</v>
      </c>
      <c r="Q83" s="30">
        <v>76</v>
      </c>
      <c r="R83" s="44">
        <v>82.1</v>
      </c>
      <c r="S83" s="44">
        <v>81.400000000000006</v>
      </c>
      <c r="T83" s="155"/>
    </row>
    <row r="84" spans="2:35" s="19" customFormat="1" ht="15" customHeight="1" outlineLevel="2" x14ac:dyDescent="0.2">
      <c r="B84" s="26"/>
      <c r="C84" s="167" t="s">
        <v>8</v>
      </c>
      <c r="D84" s="170" t="s">
        <v>169</v>
      </c>
      <c r="E84" s="170"/>
      <c r="F84" s="170" t="s">
        <v>20</v>
      </c>
      <c r="G84" s="165" t="s">
        <v>19</v>
      </c>
      <c r="H84" s="175">
        <f t="shared" si="0"/>
        <v>11</v>
      </c>
      <c r="I84" s="48"/>
      <c r="J84" s="55" t="s">
        <v>20</v>
      </c>
      <c r="K84" s="58">
        <v>11</v>
      </c>
      <c r="L84" s="58">
        <v>15.6</v>
      </c>
      <c r="M84" s="58">
        <v>17.3</v>
      </c>
      <c r="N84" s="58">
        <v>20.100000000000001</v>
      </c>
      <c r="O84" s="58">
        <v>21.5</v>
      </c>
      <c r="P84" s="58">
        <v>26.3</v>
      </c>
      <c r="Q84" s="30">
        <v>21</v>
      </c>
      <c r="R84" s="44">
        <v>16</v>
      </c>
      <c r="S84" s="44">
        <v>21.69</v>
      </c>
      <c r="T84" s="155"/>
    </row>
    <row r="85" spans="2:35" s="19" customFormat="1" ht="19.5" outlineLevel="2" x14ac:dyDescent="0.2">
      <c r="B85" s="26"/>
      <c r="C85" s="167" t="s">
        <v>8</v>
      </c>
      <c r="D85" s="170" t="s">
        <v>171</v>
      </c>
      <c r="E85" s="170"/>
      <c r="F85" s="170" t="s">
        <v>170</v>
      </c>
      <c r="G85" s="165" t="s">
        <v>154</v>
      </c>
      <c r="H85" s="175">
        <f t="shared" si="0"/>
        <v>34</v>
      </c>
      <c r="I85" s="48"/>
      <c r="J85" s="55" t="s">
        <v>21</v>
      </c>
      <c r="K85" s="58">
        <v>34</v>
      </c>
      <c r="L85" s="58">
        <v>61</v>
      </c>
      <c r="M85" s="58">
        <v>90</v>
      </c>
      <c r="N85" s="58">
        <v>108.5</v>
      </c>
      <c r="O85" s="58">
        <v>122.5</v>
      </c>
      <c r="P85" s="58">
        <v>177</v>
      </c>
      <c r="Q85" s="30">
        <v>97</v>
      </c>
      <c r="R85" s="44">
        <v>68.8</v>
      </c>
      <c r="S85" s="44">
        <v>95.21</v>
      </c>
      <c r="T85" s="155"/>
    </row>
    <row r="86" spans="2:35" s="19" customFormat="1" ht="16.5" outlineLevel="2" thickBot="1" x14ac:dyDescent="0.25">
      <c r="B86" s="26"/>
      <c r="C86" s="167" t="s">
        <v>8</v>
      </c>
      <c r="D86" s="170" t="s">
        <v>173</v>
      </c>
      <c r="E86" s="170"/>
      <c r="F86" s="170" t="s">
        <v>172</v>
      </c>
      <c r="G86" s="165" t="s">
        <v>19</v>
      </c>
      <c r="H86" s="175">
        <f t="shared" si="0"/>
        <v>41.2</v>
      </c>
      <c r="I86" s="46"/>
      <c r="J86" s="59" t="s">
        <v>150</v>
      </c>
      <c r="K86" s="60">
        <v>41.2</v>
      </c>
      <c r="L86" s="60">
        <v>50</v>
      </c>
      <c r="M86" s="60">
        <v>56</v>
      </c>
      <c r="N86" s="60">
        <v>64.400000000000006</v>
      </c>
      <c r="O86" s="60">
        <v>76.400000000000006</v>
      </c>
      <c r="P86" s="60">
        <v>87</v>
      </c>
      <c r="Q86" s="61">
        <v>52.8</v>
      </c>
      <c r="R86" s="62">
        <v>50</v>
      </c>
      <c r="S86" s="62">
        <v>48.9</v>
      </c>
      <c r="T86" s="156"/>
    </row>
    <row r="87" spans="2:35" s="20" customFormat="1" outlineLevel="2" x14ac:dyDescent="0.2">
      <c r="B87" s="26"/>
      <c r="C87" s="32"/>
      <c r="D87" s="29"/>
      <c r="E87" s="29"/>
      <c r="F87" s="29"/>
      <c r="G87" s="30"/>
      <c r="H87" s="48"/>
      <c r="I87" s="46"/>
      <c r="J87" s="30"/>
      <c r="K87" s="30"/>
      <c r="L87" s="30"/>
      <c r="M87" s="30"/>
      <c r="N87" s="30"/>
      <c r="O87" s="30"/>
      <c r="P87" s="30"/>
      <c r="Q87" s="30"/>
      <c r="R87" s="44"/>
      <c r="S87" s="44"/>
      <c r="T87" s="44"/>
    </row>
    <row r="88" spans="2:35" s="19" customFormat="1" outlineLevel="1" x14ac:dyDescent="0.2">
      <c r="B88" s="63"/>
      <c r="C88" s="27" t="s">
        <v>148</v>
      </c>
      <c r="F88" s="39" t="s">
        <v>27</v>
      </c>
      <c r="G88" s="39"/>
      <c r="H88" s="19" t="s">
        <v>4</v>
      </c>
      <c r="I88" s="19" t="s">
        <v>4</v>
      </c>
    </row>
    <row r="89" spans="2:35" s="19" customFormat="1" ht="15.75" outlineLevel="2" x14ac:dyDescent="0.2">
      <c r="B89" s="26"/>
      <c r="C89" s="167" t="s">
        <v>8</v>
      </c>
      <c r="D89" s="170" t="s">
        <v>301</v>
      </c>
      <c r="E89" s="170"/>
      <c r="F89" s="179" t="s">
        <v>218</v>
      </c>
      <c r="G89" s="165" t="s">
        <v>28</v>
      </c>
      <c r="H89" s="169">
        <f>H74*H71*1000000/(H82*H83)</f>
        <v>74.630502149958133</v>
      </c>
      <c r="I89" s="64" t="s">
        <v>4</v>
      </c>
      <c r="K89" s="20"/>
      <c r="L89" s="25" t="s">
        <v>4</v>
      </c>
      <c r="P89" s="20"/>
    </row>
    <row r="90" spans="2:35" s="19" customFormat="1" ht="15.75" outlineLevel="2" x14ac:dyDescent="0.2">
      <c r="B90" s="26"/>
      <c r="C90" s="143" t="s">
        <v>2</v>
      </c>
      <c r="D90" s="143" t="s">
        <v>300</v>
      </c>
      <c r="E90" s="143"/>
      <c r="F90" s="144" t="s">
        <v>86</v>
      </c>
      <c r="G90" s="145" t="s">
        <v>28</v>
      </c>
      <c r="H90" s="149">
        <v>78</v>
      </c>
      <c r="I90" s="64"/>
      <c r="K90" s="28"/>
      <c r="L90" s="25"/>
    </row>
    <row r="91" spans="2:35" s="19" customFormat="1" ht="15.75" outlineLevel="2" x14ac:dyDescent="0.2">
      <c r="B91" s="26"/>
      <c r="C91" s="167" t="s">
        <v>8</v>
      </c>
      <c r="D91" s="170" t="s">
        <v>302</v>
      </c>
      <c r="E91" s="170"/>
      <c r="F91" s="179" t="s">
        <v>219</v>
      </c>
      <c r="G91" s="165" t="s">
        <v>28</v>
      </c>
      <c r="H91" s="184">
        <f>H$90*(H$24+H$26)/H$68</f>
        <v>12.479999999999999</v>
      </c>
      <c r="I91" s="64" t="s">
        <v>4</v>
      </c>
      <c r="K91" s="20"/>
      <c r="L91" s="25" t="s">
        <v>4</v>
      </c>
    </row>
    <row r="92" spans="2:35" s="19" customFormat="1" ht="15.75" outlineLevel="2" x14ac:dyDescent="0.2">
      <c r="B92" s="26"/>
      <c r="C92" s="143" t="s">
        <v>2</v>
      </c>
      <c r="D92" s="143" t="s">
        <v>303</v>
      </c>
      <c r="E92" s="143"/>
      <c r="F92" s="157" t="s">
        <v>186</v>
      </c>
      <c r="G92" s="145" t="s">
        <v>28</v>
      </c>
      <c r="H92" s="149">
        <v>12</v>
      </c>
      <c r="I92" s="19" t="s">
        <v>4</v>
      </c>
      <c r="K92" s="20"/>
      <c r="L92" s="21"/>
      <c r="Q92" s="20"/>
    </row>
    <row r="93" spans="2:35" s="19" customFormat="1" ht="15.75" outlineLevel="2" x14ac:dyDescent="0.2">
      <c r="B93" s="26"/>
      <c r="C93" s="167" t="s">
        <v>8</v>
      </c>
      <c r="D93" s="170" t="s">
        <v>306</v>
      </c>
      <c r="E93" s="170"/>
      <c r="F93" s="179" t="s">
        <v>221</v>
      </c>
      <c r="G93" s="165" t="s">
        <v>28</v>
      </c>
      <c r="H93" s="184">
        <f>(H$31+H$32)*H90/(H99)</f>
        <v>11.230769230769232</v>
      </c>
      <c r="I93" s="64"/>
      <c r="K93" s="20"/>
      <c r="L93" s="25" t="s">
        <v>4</v>
      </c>
    </row>
    <row r="94" spans="2:35" s="19" customFormat="1" ht="15.75" outlineLevel="2" x14ac:dyDescent="0.2">
      <c r="B94" s="26"/>
      <c r="C94" s="143" t="s">
        <v>2</v>
      </c>
      <c r="D94" s="143" t="s">
        <v>307</v>
      </c>
      <c r="E94" s="143"/>
      <c r="F94" s="157" t="s">
        <v>144</v>
      </c>
      <c r="G94" s="145" t="s">
        <v>28</v>
      </c>
      <c r="H94" s="149">
        <v>11</v>
      </c>
      <c r="I94" s="19" t="s">
        <v>4</v>
      </c>
      <c r="K94" s="20"/>
      <c r="L94" s="21"/>
      <c r="Q94" s="20"/>
    </row>
    <row r="95" spans="2:35" s="19" customFormat="1" ht="15.75" outlineLevel="2" x14ac:dyDescent="0.2">
      <c r="B95" s="26"/>
      <c r="C95" s="167" t="s">
        <v>8</v>
      </c>
      <c r="D95" s="168" t="s">
        <v>434</v>
      </c>
      <c r="E95" s="168"/>
      <c r="F95" s="170" t="s">
        <v>222</v>
      </c>
      <c r="G95" s="165" t="s">
        <v>3</v>
      </c>
      <c r="H95" s="169">
        <f>((H24+H26)*H94/H92)-H32</f>
        <v>13.7</v>
      </c>
      <c r="K95" s="20"/>
      <c r="L95" s="21"/>
      <c r="Q95" s="20"/>
    </row>
    <row r="96" spans="2:35" s="20" customFormat="1" outlineLevel="2" x14ac:dyDescent="0.2">
      <c r="B96" s="26"/>
      <c r="C96" s="32"/>
      <c r="D96" s="28"/>
      <c r="E96" s="28"/>
      <c r="F96" s="29"/>
      <c r="G96" s="30"/>
      <c r="H96" s="18"/>
      <c r="L96" s="21"/>
    </row>
    <row r="97" spans="2:19" s="19" customFormat="1" outlineLevel="1" x14ac:dyDescent="0.2">
      <c r="B97" s="26"/>
      <c r="C97" s="27" t="s">
        <v>146</v>
      </c>
      <c r="D97" s="21"/>
      <c r="E97" s="21"/>
      <c r="F97" s="21"/>
      <c r="G97" s="21"/>
      <c r="H97" s="65"/>
      <c r="K97" s="20"/>
      <c r="L97" s="21"/>
      <c r="Q97" s="20"/>
    </row>
    <row r="98" spans="2:19" s="19" customFormat="1" ht="15.75" outlineLevel="2" x14ac:dyDescent="0.2">
      <c r="B98" s="26"/>
      <c r="C98" s="167" t="s">
        <v>8</v>
      </c>
      <c r="D98" s="168" t="s">
        <v>313</v>
      </c>
      <c r="E98" s="168"/>
      <c r="F98" s="170" t="s">
        <v>318</v>
      </c>
      <c r="G98" s="165"/>
      <c r="H98" s="169">
        <f>H90/H92</f>
        <v>6.5</v>
      </c>
      <c r="I98" s="35"/>
      <c r="K98" s="20"/>
      <c r="L98" s="20"/>
    </row>
    <row r="99" spans="2:19" s="19" customFormat="1" ht="15.75" outlineLevel="2" x14ac:dyDescent="0.2">
      <c r="B99" s="26"/>
      <c r="C99" s="167" t="s">
        <v>8</v>
      </c>
      <c r="D99" s="168" t="s">
        <v>308</v>
      </c>
      <c r="E99" s="168"/>
      <c r="F99" s="170" t="s">
        <v>223</v>
      </c>
      <c r="G99" s="165" t="s">
        <v>3</v>
      </c>
      <c r="H99" s="169">
        <f>(H24+H26)*H90/H92</f>
        <v>101.39999999999999</v>
      </c>
      <c r="I99" s="35"/>
      <c r="K99" s="20"/>
      <c r="L99" s="20"/>
    </row>
    <row r="100" spans="2:19" s="19" customFormat="1" ht="15.75" outlineLevel="2" x14ac:dyDescent="0.2">
      <c r="B100" s="26"/>
      <c r="C100" s="167" t="s">
        <v>8</v>
      </c>
      <c r="D100" s="168" t="s">
        <v>309</v>
      </c>
      <c r="E100" s="168"/>
      <c r="F100" s="179" t="s">
        <v>224</v>
      </c>
      <c r="G100" s="179"/>
      <c r="H100" s="169">
        <f>H99/(H99+H60)</f>
        <v>0.51991374979353955</v>
      </c>
      <c r="I100" s="35"/>
      <c r="K100" s="66"/>
      <c r="L100" s="20"/>
    </row>
    <row r="101" spans="2:19" s="19" customFormat="1" ht="15.75" outlineLevel="2" x14ac:dyDescent="0.2">
      <c r="B101" s="26"/>
      <c r="C101" s="167" t="s">
        <v>8</v>
      </c>
      <c r="D101" s="168" t="s">
        <v>682</v>
      </c>
      <c r="E101" s="168"/>
      <c r="F101" s="179" t="s">
        <v>158</v>
      </c>
      <c r="G101" s="179"/>
      <c r="H101" s="169">
        <f>H71*(H74-H75)*H43/H99</f>
        <v>0.47104064473346369</v>
      </c>
      <c r="I101" s="35"/>
      <c r="K101" s="66"/>
      <c r="L101" s="20"/>
    </row>
    <row r="102" spans="2:19" s="19" customFormat="1" ht="15.75" outlineLevel="2" x14ac:dyDescent="0.2">
      <c r="B102" s="26"/>
      <c r="C102" s="167" t="s">
        <v>8</v>
      </c>
      <c r="D102" s="170" t="s">
        <v>310</v>
      </c>
      <c r="E102" s="168"/>
      <c r="F102" s="179" t="s">
        <v>225</v>
      </c>
      <c r="G102" s="165" t="s">
        <v>25</v>
      </c>
      <c r="H102" s="171">
        <f>H71*H74*1000000/(H90*H$83)</f>
        <v>0.19136026192296959</v>
      </c>
      <c r="I102" s="67" t="str">
        <f>IF(H102&gt;H82,"Caution! Flux density too large, increase primary turns (cell H96)","")</f>
        <v/>
      </c>
      <c r="K102" s="25"/>
      <c r="L102" s="20"/>
    </row>
    <row r="103" spans="2:19" s="19" customFormat="1" ht="15.75" outlineLevel="2" x14ac:dyDescent="0.2">
      <c r="B103" s="26"/>
      <c r="C103" s="180" t="s">
        <v>8</v>
      </c>
      <c r="D103" s="170" t="s">
        <v>489</v>
      </c>
      <c r="E103" s="168"/>
      <c r="F103" s="181" t="s">
        <v>317</v>
      </c>
      <c r="G103" s="182" t="s">
        <v>3</v>
      </c>
      <c r="H103" s="183">
        <f>((1/SQRT(2*H38*H71*H43))-(1/H99))^-1</f>
        <v>90.297148354443451</v>
      </c>
      <c r="K103" s="20"/>
    </row>
    <row r="104" spans="2:19" s="20" customFormat="1" outlineLevel="2" x14ac:dyDescent="0.2">
      <c r="B104" s="26"/>
      <c r="C104" s="32"/>
      <c r="D104" s="29"/>
      <c r="E104" s="29"/>
      <c r="F104" s="68"/>
      <c r="G104" s="30"/>
      <c r="H104" s="69"/>
      <c r="I104" s="70"/>
      <c r="K104" s="25"/>
    </row>
    <row r="105" spans="2:19" s="19" customFormat="1" outlineLevel="1" x14ac:dyDescent="0.2">
      <c r="B105" s="26"/>
      <c r="C105" s="27" t="s">
        <v>149</v>
      </c>
      <c r="D105" s="20"/>
      <c r="E105" s="20"/>
      <c r="F105" s="20"/>
      <c r="G105" s="20"/>
      <c r="H105" s="20"/>
      <c r="I105" s="71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 s="19" customFormat="1" outlineLevel="2" x14ac:dyDescent="0.2">
      <c r="B106" s="26"/>
      <c r="C106" s="143" t="s">
        <v>2</v>
      </c>
      <c r="D106" s="143" t="s">
        <v>30</v>
      </c>
      <c r="E106" s="143"/>
      <c r="F106" s="143" t="s">
        <v>29</v>
      </c>
      <c r="G106" s="145" t="s">
        <v>19</v>
      </c>
      <c r="H106" s="146">
        <v>0</v>
      </c>
      <c r="I106" s="19" t="s">
        <v>4</v>
      </c>
      <c r="K106" s="20"/>
      <c r="L106" s="20"/>
    </row>
    <row r="107" spans="2:19" s="19" customFormat="1" ht="15.75" outlineLevel="2" x14ac:dyDescent="0.2">
      <c r="B107" s="26"/>
      <c r="C107" s="143" t="s">
        <v>2</v>
      </c>
      <c r="D107" s="143" t="s">
        <v>31</v>
      </c>
      <c r="E107" s="143"/>
      <c r="F107" s="143" t="s">
        <v>435</v>
      </c>
      <c r="G107" s="145"/>
      <c r="H107" s="146">
        <v>0.4</v>
      </c>
      <c r="I107" s="19" t="s">
        <v>4</v>
      </c>
      <c r="K107" s="20"/>
      <c r="L107" s="20"/>
      <c r="M107" s="20"/>
      <c r="N107" s="20"/>
      <c r="O107" s="19" t="s">
        <v>4</v>
      </c>
    </row>
    <row r="108" spans="2:19" s="19" customFormat="1" ht="15.75" outlineLevel="2" x14ac:dyDescent="0.2">
      <c r="B108" s="26"/>
      <c r="C108" s="167" t="s">
        <v>8</v>
      </c>
      <c r="D108" s="170" t="s">
        <v>311</v>
      </c>
      <c r="E108" s="170"/>
      <c r="F108" s="168" t="s">
        <v>226</v>
      </c>
      <c r="G108" s="165" t="s">
        <v>19</v>
      </c>
      <c r="H108" s="172">
        <f>H84-(2*H106)</f>
        <v>11</v>
      </c>
      <c r="I108" s="71"/>
      <c r="K108" s="20"/>
      <c r="L108" s="20"/>
      <c r="M108" s="20"/>
    </row>
    <row r="109" spans="2:19" s="19" customFormat="1" ht="15.75" outlineLevel="2" x14ac:dyDescent="0.2">
      <c r="B109" s="26"/>
      <c r="C109" s="167" t="s">
        <v>8</v>
      </c>
      <c r="D109" s="170" t="s">
        <v>312</v>
      </c>
      <c r="E109" s="170"/>
      <c r="F109" s="168" t="s">
        <v>227</v>
      </c>
      <c r="G109" s="169" t="s">
        <v>33</v>
      </c>
      <c r="H109" s="172">
        <f>H85*H108/H84</f>
        <v>34</v>
      </c>
      <c r="I109" s="71"/>
      <c r="K109" s="20"/>
      <c r="L109" s="20"/>
      <c r="M109" s="20"/>
    </row>
    <row r="110" spans="2:19" s="19" customFormat="1" ht="15.75" outlineLevel="2" x14ac:dyDescent="0.2">
      <c r="B110" s="26"/>
      <c r="C110" s="143" t="s">
        <v>2</v>
      </c>
      <c r="D110" s="143" t="s">
        <v>322</v>
      </c>
      <c r="E110" s="143"/>
      <c r="F110" s="143" t="s">
        <v>436</v>
      </c>
      <c r="G110" s="145"/>
      <c r="H110" s="147">
        <v>0.5</v>
      </c>
      <c r="I110" s="19" t="s">
        <v>4</v>
      </c>
      <c r="K110" s="20"/>
      <c r="L110" s="20"/>
    </row>
    <row r="111" spans="2:19" s="19" customFormat="1" ht="15.75" outlineLevel="2" x14ac:dyDescent="0.2">
      <c r="B111" s="26"/>
      <c r="C111" s="143" t="s">
        <v>2</v>
      </c>
      <c r="D111" s="143" t="s">
        <v>228</v>
      </c>
      <c r="E111" s="143"/>
      <c r="F111" s="143" t="s">
        <v>437</v>
      </c>
      <c r="G111" s="145"/>
      <c r="H111" s="147">
        <v>0.45</v>
      </c>
      <c r="I111" s="19" t="s">
        <v>4</v>
      </c>
      <c r="K111" s="20"/>
      <c r="L111" s="20"/>
      <c r="M111" s="20"/>
      <c r="N111" s="20"/>
      <c r="O111" s="19" t="s">
        <v>4</v>
      </c>
    </row>
    <row r="112" spans="2:19" s="19" customFormat="1" ht="15.75" outlineLevel="2" x14ac:dyDescent="0.2">
      <c r="B112" s="26"/>
      <c r="C112" s="143" t="s">
        <v>2</v>
      </c>
      <c r="D112" s="143" t="s">
        <v>230</v>
      </c>
      <c r="E112" s="143"/>
      <c r="F112" s="143" t="s">
        <v>439</v>
      </c>
      <c r="G112" s="145"/>
      <c r="H112" s="147">
        <v>0.05</v>
      </c>
      <c r="I112" s="72" t="str">
        <f>IF(H110+H111+H112&gt;1,"Caution! Total winding factor should be ≤1", "")</f>
        <v/>
      </c>
      <c r="K112" s="20"/>
      <c r="L112" s="20"/>
      <c r="M112" s="20"/>
      <c r="N112" s="20"/>
      <c r="O112" s="19" t="s">
        <v>4</v>
      </c>
    </row>
    <row r="113" spans="2:15" s="20" customFormat="1" outlineLevel="2" x14ac:dyDescent="0.2">
      <c r="B113" s="26"/>
      <c r="C113" s="28"/>
      <c r="D113" s="28"/>
      <c r="E113" s="28"/>
      <c r="F113" s="28"/>
      <c r="G113" s="30"/>
      <c r="H113" s="18"/>
    </row>
    <row r="114" spans="2:15" s="19" customFormat="1" outlineLevel="1" x14ac:dyDescent="0.2">
      <c r="B114" s="26"/>
      <c r="C114" s="26" t="s">
        <v>374</v>
      </c>
      <c r="F114" s="20"/>
      <c r="G114" s="46"/>
      <c r="H114" s="46"/>
      <c r="K114" s="25"/>
      <c r="L114" s="20"/>
    </row>
    <row r="115" spans="2:15" s="19" customFormat="1" ht="15.75" outlineLevel="2" x14ac:dyDescent="0.2">
      <c r="B115" s="26"/>
      <c r="C115" s="167" t="s">
        <v>8</v>
      </c>
      <c r="D115" s="170" t="s">
        <v>683</v>
      </c>
      <c r="E115" s="170"/>
      <c r="F115" s="168" t="s">
        <v>232</v>
      </c>
      <c r="G115" s="169" t="s">
        <v>33</v>
      </c>
      <c r="H115" s="174">
        <f>H110*H107*H109/H90</f>
        <v>8.7179487179487189E-2</v>
      </c>
      <c r="I115" s="73"/>
      <c r="K115" s="20"/>
      <c r="L115" s="20"/>
      <c r="M115" s="20"/>
    </row>
    <row r="116" spans="2:15" s="19" customFormat="1" ht="15.75" outlineLevel="2" x14ac:dyDescent="0.2">
      <c r="B116" s="26"/>
      <c r="C116" s="167" t="s">
        <v>8</v>
      </c>
      <c r="D116" s="170" t="s">
        <v>684</v>
      </c>
      <c r="E116" s="170"/>
      <c r="F116" s="168" t="s">
        <v>238</v>
      </c>
      <c r="G116" s="165"/>
      <c r="H116" s="177">
        <f>9.97*(1.8277-(2*LOG(2*SQRT(H115/PI()))))</f>
        <v>27.740284446363646</v>
      </c>
      <c r="I116" s="71"/>
      <c r="K116" s="20"/>
      <c r="L116" s="20"/>
      <c r="M116" s="20"/>
    </row>
    <row r="117" spans="2:15" s="19" customFormat="1" ht="15.75" outlineLevel="2" x14ac:dyDescent="0.2">
      <c r="B117" s="26"/>
      <c r="C117" s="143" t="s">
        <v>2</v>
      </c>
      <c r="D117" s="143" t="s">
        <v>685</v>
      </c>
      <c r="E117" s="143"/>
      <c r="F117" s="143" t="s">
        <v>440</v>
      </c>
      <c r="G117" s="145"/>
      <c r="H117" s="146">
        <v>30</v>
      </c>
      <c r="K117" s="20"/>
      <c r="L117" s="20"/>
      <c r="M117" s="20"/>
      <c r="N117" s="20"/>
    </row>
    <row r="118" spans="2:15" s="19" customFormat="1" ht="15.75" outlineLevel="2" x14ac:dyDescent="0.2">
      <c r="B118" s="26"/>
      <c r="C118" s="143" t="s">
        <v>2</v>
      </c>
      <c r="D118" s="143" t="s">
        <v>686</v>
      </c>
      <c r="E118" s="143"/>
      <c r="F118" s="143" t="s">
        <v>441</v>
      </c>
      <c r="G118" s="145"/>
      <c r="H118" s="146">
        <v>1</v>
      </c>
      <c r="K118" s="20"/>
      <c r="L118" s="20"/>
      <c r="M118" s="20"/>
      <c r="N118" s="20"/>
    </row>
    <row r="119" spans="2:15" s="19" customFormat="1" ht="15.75" outlineLevel="2" x14ac:dyDescent="0.2">
      <c r="B119" s="26"/>
      <c r="C119" s="167" t="s">
        <v>8</v>
      </c>
      <c r="D119" s="168" t="s">
        <v>687</v>
      </c>
      <c r="E119" s="168"/>
      <c r="F119" s="168" t="s">
        <v>233</v>
      </c>
      <c r="G119" s="165" t="s">
        <v>19</v>
      </c>
      <c r="H119" s="169">
        <f>POWER(10,((1.8277/2)-(H117/2/9.97)))</f>
        <v>0.25664715796727061</v>
      </c>
      <c r="I119" s="74"/>
      <c r="K119" s="20"/>
      <c r="L119" s="20"/>
      <c r="M119" s="20"/>
      <c r="N119" s="20"/>
    </row>
    <row r="120" spans="2:15" s="19" customFormat="1" ht="18" outlineLevel="2" x14ac:dyDescent="0.2">
      <c r="B120" s="26"/>
      <c r="C120" s="167" t="s">
        <v>8</v>
      </c>
      <c r="D120" s="168" t="s">
        <v>688</v>
      </c>
      <c r="E120" s="168"/>
      <c r="F120" s="168" t="s">
        <v>234</v>
      </c>
      <c r="G120" s="165" t="s">
        <v>22</v>
      </c>
      <c r="H120" s="174">
        <f>(POWER(10,((1.8277/2)-(H117/2/9.97)))/2)^2*PI()*H118</f>
        <v>5.1732420631325771E-2</v>
      </c>
      <c r="I120" s="75" t="str">
        <f>IF(H120&gt;H115,"Caution! Cross sectional area too large, reduce wire size (cell C126)","")</f>
        <v/>
      </c>
      <c r="K120" s="20"/>
      <c r="L120" s="20"/>
      <c r="M120" s="20"/>
      <c r="N120" s="20"/>
    </row>
    <row r="121" spans="2:15" s="19" customFormat="1" ht="18" outlineLevel="2" x14ac:dyDescent="0.2">
      <c r="B121" s="26"/>
      <c r="C121" s="167" t="s">
        <v>8</v>
      </c>
      <c r="D121" s="170" t="s">
        <v>691</v>
      </c>
      <c r="E121" s="168"/>
      <c r="F121" s="168" t="s">
        <v>235</v>
      </c>
      <c r="G121" s="165" t="s">
        <v>35</v>
      </c>
      <c r="H121" s="169">
        <f>H76/H120</f>
        <v>6.8362237445597707</v>
      </c>
      <c r="I121" s="76" t="str">
        <f>IF(H121&gt;8,"Caution! Current density too high, increase wire size (cell H126)","")</f>
        <v/>
      </c>
      <c r="K121" s="20"/>
      <c r="L121" s="20"/>
      <c r="M121" s="20"/>
    </row>
    <row r="122" spans="2:15" s="19" customFormat="1" ht="15.75" outlineLevel="2" x14ac:dyDescent="0.2">
      <c r="B122" s="26"/>
      <c r="C122" s="143" t="s">
        <v>2</v>
      </c>
      <c r="D122" s="143" t="s">
        <v>32</v>
      </c>
      <c r="E122" s="143"/>
      <c r="F122" s="143" t="s">
        <v>442</v>
      </c>
      <c r="G122" s="145" t="s">
        <v>19</v>
      </c>
      <c r="H122" s="146">
        <v>0.01</v>
      </c>
      <c r="I122" s="19" t="s">
        <v>4</v>
      </c>
      <c r="K122" s="20"/>
      <c r="L122" s="20"/>
      <c r="M122" s="20"/>
    </row>
    <row r="123" spans="2:15" s="19" customFormat="1" ht="15.75" outlineLevel="2" x14ac:dyDescent="0.2">
      <c r="B123" s="26"/>
      <c r="C123" s="167" t="s">
        <v>8</v>
      </c>
      <c r="D123" s="170" t="s">
        <v>692</v>
      </c>
      <c r="E123" s="170"/>
      <c r="F123" s="168" t="s">
        <v>236</v>
      </c>
      <c r="G123" s="165" t="s">
        <v>36</v>
      </c>
      <c r="H123" s="177">
        <f>MIN(ROUNDDOWN(H108/((H119+(2*H122))*H118),0),H90)</f>
        <v>39</v>
      </c>
      <c r="I123" s="71"/>
      <c r="K123" s="20"/>
      <c r="L123" s="77"/>
      <c r="M123" s="20"/>
    </row>
    <row r="124" spans="2:15" s="19" customFormat="1" ht="15.75" outlineLevel="2" x14ac:dyDescent="0.2">
      <c r="B124" s="26"/>
      <c r="C124" s="167" t="s">
        <v>8</v>
      </c>
      <c r="D124" s="170" t="s">
        <v>693</v>
      </c>
      <c r="E124" s="170"/>
      <c r="F124" s="168" t="s">
        <v>237</v>
      </c>
      <c r="G124" s="165" t="s">
        <v>37</v>
      </c>
      <c r="H124" s="177">
        <f>ROUNDUP(H90/H123,0)</f>
        <v>2</v>
      </c>
      <c r="I124" s="71"/>
      <c r="K124" s="20"/>
      <c r="L124" s="78"/>
      <c r="M124" s="20"/>
      <c r="N124" s="20"/>
      <c r="O124" s="19" t="s">
        <v>4</v>
      </c>
    </row>
    <row r="125" spans="2:15" s="20" customFormat="1" outlineLevel="2" x14ac:dyDescent="0.2">
      <c r="B125" s="26"/>
      <c r="C125" s="32"/>
      <c r="D125" s="29"/>
      <c r="E125" s="29"/>
      <c r="F125" s="28"/>
      <c r="G125" s="30"/>
      <c r="H125" s="65"/>
      <c r="I125" s="71"/>
      <c r="L125" s="78"/>
    </row>
    <row r="126" spans="2:15" s="19" customFormat="1" outlineLevel="1" x14ac:dyDescent="0.2">
      <c r="B126" s="26"/>
      <c r="C126" s="26" t="s">
        <v>375</v>
      </c>
      <c r="F126" s="20"/>
      <c r="G126" s="46"/>
      <c r="H126" s="46"/>
      <c r="K126" s="25"/>
      <c r="L126" s="20"/>
    </row>
    <row r="127" spans="2:15" s="19" customFormat="1" ht="15.75" outlineLevel="2" x14ac:dyDescent="0.2">
      <c r="B127" s="26"/>
      <c r="C127" s="167" t="s">
        <v>8</v>
      </c>
      <c r="D127" s="170" t="s">
        <v>683</v>
      </c>
      <c r="E127" s="170"/>
      <c r="F127" s="168" t="s">
        <v>241</v>
      </c>
      <c r="G127" s="169" t="s">
        <v>33</v>
      </c>
      <c r="H127" s="174">
        <f>H111*H107*H109/H92</f>
        <v>0.51000000000000012</v>
      </c>
      <c r="I127" s="73"/>
      <c r="K127" s="20"/>
      <c r="L127" s="20"/>
      <c r="M127" s="20"/>
    </row>
    <row r="128" spans="2:15" s="19" customFormat="1" ht="15.75" outlineLevel="2" x14ac:dyDescent="0.2">
      <c r="B128" s="26"/>
      <c r="C128" s="167" t="s">
        <v>8</v>
      </c>
      <c r="D128" s="170" t="s">
        <v>684</v>
      </c>
      <c r="E128" s="170"/>
      <c r="F128" s="168" t="s">
        <v>239</v>
      </c>
      <c r="G128" s="165"/>
      <c r="H128" s="177">
        <f>9.97*(1.8277-(2*LOG(2*SQRT(H127/PI()))))</f>
        <v>20.091740461524303</v>
      </c>
      <c r="I128" s="71"/>
      <c r="K128" s="20"/>
      <c r="L128" s="20"/>
      <c r="M128" s="20"/>
    </row>
    <row r="129" spans="2:20" s="19" customFormat="1" ht="15.75" outlineLevel="2" x14ac:dyDescent="0.2">
      <c r="B129" s="26"/>
      <c r="C129" s="143" t="s">
        <v>2</v>
      </c>
      <c r="D129" s="143" t="s">
        <v>685</v>
      </c>
      <c r="E129" s="143"/>
      <c r="F129" s="143" t="s">
        <v>443</v>
      </c>
      <c r="G129" s="145"/>
      <c r="H129" s="146">
        <v>25</v>
      </c>
      <c r="K129" s="20"/>
      <c r="L129" s="20"/>
      <c r="M129" s="20"/>
      <c r="N129" s="20"/>
    </row>
    <row r="130" spans="2:20" s="19" customFormat="1" ht="15.75" outlineLevel="2" x14ac:dyDescent="0.2">
      <c r="B130" s="26"/>
      <c r="C130" s="143" t="s">
        <v>2</v>
      </c>
      <c r="D130" s="143" t="s">
        <v>686</v>
      </c>
      <c r="E130" s="143"/>
      <c r="F130" s="143" t="s">
        <v>444</v>
      </c>
      <c r="G130" s="145"/>
      <c r="H130" s="146">
        <v>2</v>
      </c>
      <c r="K130" s="20"/>
      <c r="L130" s="20"/>
      <c r="M130" s="20"/>
      <c r="N130" s="20"/>
    </row>
    <row r="131" spans="2:20" s="19" customFormat="1" ht="15.75" outlineLevel="2" x14ac:dyDescent="0.2">
      <c r="B131" s="26"/>
      <c r="C131" s="167" t="s">
        <v>8</v>
      </c>
      <c r="D131" s="168" t="s">
        <v>687</v>
      </c>
      <c r="E131" s="168"/>
      <c r="F131" s="168" t="s">
        <v>242</v>
      </c>
      <c r="G131" s="165" t="s">
        <v>19</v>
      </c>
      <c r="H131" s="174">
        <f>POWER(10,((1.8277/2)-(H129/2/9.97)))</f>
        <v>0.45718157151925753</v>
      </c>
      <c r="I131" s="74"/>
      <c r="K131" s="20"/>
      <c r="L131" s="20"/>
      <c r="M131" s="20"/>
      <c r="N131" s="20"/>
    </row>
    <row r="132" spans="2:20" s="19" customFormat="1" ht="18" outlineLevel="2" x14ac:dyDescent="0.2">
      <c r="B132" s="26"/>
      <c r="C132" s="167" t="s">
        <v>8</v>
      </c>
      <c r="D132" s="168" t="s">
        <v>688</v>
      </c>
      <c r="E132" s="168"/>
      <c r="F132" s="168" t="s">
        <v>243</v>
      </c>
      <c r="G132" s="165" t="s">
        <v>22</v>
      </c>
      <c r="H132" s="174">
        <f>PI()*H131^2*H130/4</f>
        <v>0.32831997749534819</v>
      </c>
      <c r="I132" s="75" t="str">
        <f>IF(H132&gt;H127,"Caution! Cross sectional area too large, reduce wire size (cell C138)","")</f>
        <v/>
      </c>
      <c r="K132" s="20"/>
      <c r="L132" s="20"/>
      <c r="M132" s="20"/>
      <c r="N132" s="20"/>
    </row>
    <row r="133" spans="2:20" s="19" customFormat="1" ht="15.75" outlineLevel="2" x14ac:dyDescent="0.2">
      <c r="B133" s="26"/>
      <c r="C133" s="167" t="s">
        <v>8</v>
      </c>
      <c r="D133" s="170" t="s">
        <v>689</v>
      </c>
      <c r="E133" s="168"/>
      <c r="F133" s="168" t="s">
        <v>320</v>
      </c>
      <c r="G133" s="165" t="s">
        <v>10</v>
      </c>
      <c r="H133" s="174">
        <f>H74*H98</f>
        <v>5.5746530525888929</v>
      </c>
      <c r="I133" s="35"/>
      <c r="K133" s="20"/>
      <c r="L133" s="20"/>
      <c r="M133" s="20"/>
      <c r="N133" s="20"/>
    </row>
    <row r="134" spans="2:20" s="19" customFormat="1" ht="15.75" outlineLevel="2" x14ac:dyDescent="0.2">
      <c r="B134" s="26"/>
      <c r="C134" s="167" t="s">
        <v>8</v>
      </c>
      <c r="D134" s="170" t="s">
        <v>690</v>
      </c>
      <c r="E134" s="168"/>
      <c r="F134" s="168" t="s">
        <v>240</v>
      </c>
      <c r="G134" s="165" t="s">
        <v>10</v>
      </c>
      <c r="H134" s="174">
        <f>H76*SQRT((1-H100)/H100)*H98</f>
        <v>2.2089526546771086</v>
      </c>
      <c r="I134" s="35"/>
      <c r="K134" s="20"/>
      <c r="L134" s="20"/>
      <c r="M134" s="20"/>
      <c r="N134" s="20"/>
    </row>
    <row r="135" spans="2:20" s="19" customFormat="1" ht="18" outlineLevel="2" x14ac:dyDescent="0.2">
      <c r="B135" s="26"/>
      <c r="C135" s="167" t="s">
        <v>8</v>
      </c>
      <c r="D135" s="170" t="s">
        <v>691</v>
      </c>
      <c r="E135" s="168"/>
      <c r="F135" s="168" t="s">
        <v>244</v>
      </c>
      <c r="G135" s="165" t="s">
        <v>35</v>
      </c>
      <c r="H135" s="169">
        <f>H134/H132</f>
        <v>6.7280482641614645</v>
      </c>
      <c r="I135" s="76" t="str">
        <f>IF(H135&gt;8,"Caution! Current density too high, increase wire size (cell H138)","")</f>
        <v/>
      </c>
      <c r="K135" s="20"/>
      <c r="L135" s="20"/>
      <c r="M135" s="20"/>
    </row>
    <row r="136" spans="2:20" s="19" customFormat="1" ht="15.75" outlineLevel="2" x14ac:dyDescent="0.2">
      <c r="B136" s="26"/>
      <c r="C136" s="143" t="s">
        <v>2</v>
      </c>
      <c r="D136" s="143" t="s">
        <v>32</v>
      </c>
      <c r="E136" s="143"/>
      <c r="F136" s="143" t="s">
        <v>445</v>
      </c>
      <c r="G136" s="145" t="s">
        <v>19</v>
      </c>
      <c r="H136" s="147">
        <v>0.01</v>
      </c>
      <c r="K136" s="20"/>
      <c r="L136" s="20"/>
      <c r="M136" s="20"/>
    </row>
    <row r="137" spans="2:20" s="19" customFormat="1" ht="15.75" outlineLevel="2" x14ac:dyDescent="0.2">
      <c r="B137" s="26"/>
      <c r="C137" s="167" t="s">
        <v>8</v>
      </c>
      <c r="D137" s="170" t="s">
        <v>692</v>
      </c>
      <c r="E137" s="170"/>
      <c r="F137" s="168" t="s">
        <v>245</v>
      </c>
      <c r="G137" s="165" t="s">
        <v>36</v>
      </c>
      <c r="H137" s="177">
        <f>MIN(ROUNDDOWN(H108/((H131+(2*H136))*H130),0),H92)</f>
        <v>11</v>
      </c>
      <c r="I137" s="71"/>
      <c r="K137" s="20"/>
      <c r="L137" s="77"/>
      <c r="M137" s="20"/>
    </row>
    <row r="138" spans="2:20" s="19" customFormat="1" ht="15.75" outlineLevel="2" x14ac:dyDescent="0.2">
      <c r="B138" s="26"/>
      <c r="C138" s="167" t="s">
        <v>8</v>
      </c>
      <c r="D138" s="170" t="s">
        <v>693</v>
      </c>
      <c r="E138" s="170"/>
      <c r="F138" s="168" t="s">
        <v>246</v>
      </c>
      <c r="G138" s="165" t="s">
        <v>37</v>
      </c>
      <c r="H138" s="177">
        <f>ROUNDUP(H92/H137,0)</f>
        <v>2</v>
      </c>
      <c r="I138" s="71"/>
      <c r="K138" s="20"/>
      <c r="L138" s="78"/>
      <c r="M138" s="20"/>
      <c r="N138" s="20"/>
      <c r="O138" s="19" t="s">
        <v>4</v>
      </c>
    </row>
    <row r="139" spans="2:20" s="20" customFormat="1" outlineLevel="2" x14ac:dyDescent="0.2">
      <c r="B139" s="26"/>
      <c r="C139" s="32"/>
      <c r="D139" s="29"/>
      <c r="E139" s="29"/>
      <c r="F139" s="28"/>
      <c r="G139" s="30"/>
      <c r="H139" s="65"/>
      <c r="I139" s="71"/>
      <c r="L139" s="78"/>
    </row>
    <row r="140" spans="2:20" s="20" customFormat="1" ht="12.75" customHeight="1" outlineLevel="2" x14ac:dyDescent="0.2">
      <c r="B140" s="26"/>
      <c r="C140" s="32"/>
      <c r="D140" s="29"/>
      <c r="E140" s="29"/>
      <c r="F140" s="28"/>
      <c r="G140" s="30"/>
      <c r="H140" s="79"/>
      <c r="I140" s="71"/>
    </row>
    <row r="141" spans="2:20" s="19" customFormat="1" x14ac:dyDescent="0.2">
      <c r="B141" s="26" t="s">
        <v>378</v>
      </c>
      <c r="F141" s="23"/>
      <c r="G141" s="22"/>
      <c r="L141" s="22"/>
      <c r="M141" s="22"/>
      <c r="N141" s="22"/>
      <c r="O141" s="22"/>
      <c r="P141" s="22"/>
      <c r="Q141" s="22"/>
      <c r="R141" s="22"/>
      <c r="S141" s="22"/>
      <c r="T141" s="22"/>
    </row>
    <row r="142" spans="2:20" s="19" customFormat="1" outlineLevel="1" x14ac:dyDescent="0.2">
      <c r="B142" s="27"/>
      <c r="C142" s="27" t="s">
        <v>151</v>
      </c>
      <c r="D142" s="20"/>
      <c r="E142" s="20"/>
      <c r="F142" s="20"/>
      <c r="G142" s="46"/>
      <c r="H142" s="79"/>
      <c r="I142" s="71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2:20" s="19" customFormat="1" ht="15.75" customHeight="1" outlineLevel="2" x14ac:dyDescent="0.2">
      <c r="B143" s="26"/>
      <c r="C143" s="143" t="s">
        <v>2</v>
      </c>
      <c r="D143" s="143" t="s">
        <v>324</v>
      </c>
      <c r="E143" s="143"/>
      <c r="F143" s="143" t="s">
        <v>449</v>
      </c>
      <c r="G143" s="145" t="s">
        <v>68</v>
      </c>
      <c r="H143" s="146">
        <v>2.5</v>
      </c>
      <c r="I143" s="19" t="s">
        <v>4</v>
      </c>
      <c r="K143" s="25"/>
      <c r="L143" s="20"/>
    </row>
    <row r="144" spans="2:20" s="20" customFormat="1" ht="15.75" customHeight="1" outlineLevel="2" x14ac:dyDescent="0.2">
      <c r="B144" s="26"/>
      <c r="C144" s="167" t="s">
        <v>8</v>
      </c>
      <c r="D144" s="170" t="s">
        <v>325</v>
      </c>
      <c r="E144" s="170"/>
      <c r="F144" s="168" t="s">
        <v>116</v>
      </c>
      <c r="G144" s="165" t="s">
        <v>13</v>
      </c>
      <c r="H144" s="178">
        <f>H143*H71/100</f>
        <v>1.39229691074517E-5</v>
      </c>
      <c r="I144" s="71"/>
      <c r="J144" s="19"/>
      <c r="M144" s="19"/>
      <c r="N144" s="19"/>
      <c r="O144" s="19"/>
      <c r="P144" s="19"/>
      <c r="Q144" s="19"/>
      <c r="R144" s="19"/>
      <c r="S144" s="19"/>
    </row>
    <row r="145" spans="2:20" s="19" customFormat="1" ht="15.75" outlineLevel="2" x14ac:dyDescent="0.2">
      <c r="B145" s="26"/>
      <c r="C145" s="167" t="s">
        <v>8</v>
      </c>
      <c r="D145" s="170" t="s">
        <v>326</v>
      </c>
      <c r="E145" s="170"/>
      <c r="F145" s="168" t="s">
        <v>96</v>
      </c>
      <c r="G145" s="165" t="s">
        <v>3</v>
      </c>
      <c r="H145" s="169">
        <f>H44-H51-H99</f>
        <v>131.90952441687864</v>
      </c>
      <c r="I145" s="71"/>
      <c r="K145" s="20"/>
      <c r="L145" s="20"/>
    </row>
    <row r="146" spans="2:20" s="19" customFormat="1" ht="15.75" outlineLevel="2" x14ac:dyDescent="0.2">
      <c r="B146" s="26"/>
      <c r="C146" s="167" t="s">
        <v>8</v>
      </c>
      <c r="D146" s="170" t="s">
        <v>327</v>
      </c>
      <c r="E146" s="170"/>
      <c r="F146" s="168" t="s">
        <v>328</v>
      </c>
      <c r="G146" s="165" t="s">
        <v>39</v>
      </c>
      <c r="H146" s="169">
        <f>H144*H74^2/((H145*(H99+H145)))*1000000000</f>
        <v>0.33276083881813684</v>
      </c>
      <c r="I146" s="71"/>
      <c r="K146" s="20"/>
      <c r="L146" s="20"/>
    </row>
    <row r="147" spans="2:20" s="19" customFormat="1" ht="15.75" outlineLevel="2" x14ac:dyDescent="0.2">
      <c r="B147" s="26"/>
      <c r="C147" s="143" t="s">
        <v>2</v>
      </c>
      <c r="D147" s="143" t="s">
        <v>648</v>
      </c>
      <c r="E147" s="143"/>
      <c r="F147" s="143" t="s">
        <v>450</v>
      </c>
      <c r="G147" s="145" t="s">
        <v>39</v>
      </c>
      <c r="H147" s="146">
        <v>1</v>
      </c>
      <c r="I147" s="71"/>
      <c r="K147" s="20"/>
      <c r="L147" s="20"/>
    </row>
    <row r="148" spans="2:20" s="19" customFormat="1" ht="15.75" outlineLevel="2" x14ac:dyDescent="0.2">
      <c r="B148" s="26"/>
      <c r="C148" s="167" t="s">
        <v>8</v>
      </c>
      <c r="D148" s="170" t="s">
        <v>329</v>
      </c>
      <c r="E148" s="170"/>
      <c r="F148" s="168" t="s">
        <v>694</v>
      </c>
      <c r="G148" s="165" t="s">
        <v>557</v>
      </c>
      <c r="H148" s="172">
        <f>((H99+H145)^2-H99^2)/(H144*H74^2*H43*0.5*1000)</f>
        <v>86.225036640971695</v>
      </c>
      <c r="I148" s="71"/>
      <c r="K148" s="20"/>
      <c r="L148" s="20"/>
    </row>
    <row r="149" spans="2:20" s="19" customFormat="1" ht="15.75" outlineLevel="2" x14ac:dyDescent="0.2">
      <c r="B149" s="26"/>
      <c r="C149" s="143" t="s">
        <v>2</v>
      </c>
      <c r="D149" s="143" t="s">
        <v>649</v>
      </c>
      <c r="E149" s="143"/>
      <c r="F149" s="143" t="s">
        <v>330</v>
      </c>
      <c r="G149" s="145" t="s">
        <v>557</v>
      </c>
      <c r="H149" s="146">
        <v>68</v>
      </c>
      <c r="I149" s="71"/>
      <c r="K149" s="20"/>
      <c r="L149" s="20"/>
    </row>
    <row r="150" spans="2:20" s="20" customFormat="1" outlineLevel="2" x14ac:dyDescent="0.2">
      <c r="B150" s="26"/>
      <c r="C150" s="28"/>
      <c r="D150" s="28"/>
      <c r="E150" s="28"/>
      <c r="F150" s="28"/>
      <c r="G150" s="30"/>
      <c r="H150" s="30"/>
      <c r="I150" s="71"/>
    </row>
    <row r="151" spans="2:20" s="19" customFormat="1" outlineLevel="1" x14ac:dyDescent="0.2">
      <c r="B151" s="26"/>
      <c r="C151" s="27" t="s">
        <v>331</v>
      </c>
      <c r="D151" s="78"/>
      <c r="E151" s="78"/>
      <c r="F151" s="21"/>
      <c r="G151" s="46"/>
      <c r="H151" s="80"/>
      <c r="I151" s="20"/>
      <c r="K151" s="66"/>
      <c r="L151" s="81"/>
    </row>
    <row r="152" spans="2:20" s="19" customFormat="1" ht="15.75" outlineLevel="2" x14ac:dyDescent="0.2">
      <c r="B152" s="26"/>
      <c r="C152" s="143" t="s">
        <v>2</v>
      </c>
      <c r="D152" s="143" t="s">
        <v>99</v>
      </c>
      <c r="E152" s="143"/>
      <c r="F152" s="143" t="s">
        <v>451</v>
      </c>
      <c r="G152" s="145" t="s">
        <v>3</v>
      </c>
      <c r="H152" s="146">
        <v>0.8</v>
      </c>
      <c r="K152" s="20"/>
      <c r="L152" s="20"/>
    </row>
    <row r="153" spans="2:20" s="19" customFormat="1" ht="15.75" outlineLevel="2" x14ac:dyDescent="0.2">
      <c r="B153" s="26"/>
      <c r="C153" s="167" t="s">
        <v>8</v>
      </c>
      <c r="D153" s="170" t="s">
        <v>651</v>
      </c>
      <c r="E153" s="170"/>
      <c r="F153" s="168" t="s">
        <v>650</v>
      </c>
      <c r="G153" s="165" t="s">
        <v>558</v>
      </c>
      <c r="H153" s="169">
        <f>H152/H74</f>
        <v>0.93279347628371201</v>
      </c>
      <c r="K153" s="20"/>
      <c r="L153" s="20"/>
    </row>
    <row r="154" spans="2:20" s="20" customFormat="1" outlineLevel="2" x14ac:dyDescent="0.2">
      <c r="B154" s="26"/>
      <c r="C154" s="32"/>
      <c r="D154" s="29"/>
      <c r="E154" s="29"/>
      <c r="F154" s="28"/>
      <c r="G154" s="30"/>
      <c r="H154" s="18"/>
    </row>
    <row r="155" spans="2:20" s="19" customFormat="1" x14ac:dyDescent="0.2">
      <c r="B155" s="26" t="s">
        <v>380</v>
      </c>
      <c r="F155" s="23"/>
      <c r="G155" s="22"/>
      <c r="L155" s="22"/>
      <c r="M155" s="22"/>
      <c r="N155" s="22"/>
      <c r="O155" s="22"/>
      <c r="P155" s="22"/>
      <c r="Q155" s="22"/>
      <c r="R155" s="22"/>
      <c r="S155" s="22"/>
      <c r="T155" s="22"/>
    </row>
    <row r="156" spans="2:20" s="19" customFormat="1" outlineLevel="1" x14ac:dyDescent="0.2">
      <c r="B156" s="26"/>
      <c r="C156" s="27" t="s">
        <v>342</v>
      </c>
      <c r="G156" s="46"/>
      <c r="H156" s="73"/>
      <c r="K156" s="20"/>
      <c r="L156" s="20"/>
    </row>
    <row r="157" spans="2:20" s="19" customFormat="1" ht="15.75" outlineLevel="2" x14ac:dyDescent="0.2">
      <c r="B157" s="26"/>
      <c r="C157" s="167" t="s">
        <v>8</v>
      </c>
      <c r="D157" s="170" t="s">
        <v>513</v>
      </c>
      <c r="E157" s="170"/>
      <c r="F157" s="168" t="s">
        <v>256</v>
      </c>
      <c r="G157" s="165" t="s">
        <v>3</v>
      </c>
      <c r="H157" s="169">
        <f>H24+(H51/H98)</f>
        <v>86.798534705095591</v>
      </c>
      <c r="K157" s="20"/>
      <c r="L157" s="20"/>
    </row>
    <row r="158" spans="2:20" s="19" customFormat="1" ht="15.75" outlineLevel="2" x14ac:dyDescent="0.2">
      <c r="B158" s="26"/>
      <c r="C158" s="167" t="s">
        <v>8</v>
      </c>
      <c r="D158" s="170" t="s">
        <v>514</v>
      </c>
      <c r="E158" s="170"/>
      <c r="F158" s="168" t="s">
        <v>472</v>
      </c>
      <c r="G158" s="165" t="s">
        <v>10</v>
      </c>
      <c r="H158" s="169">
        <f>H134</f>
        <v>2.2089526546771086</v>
      </c>
      <c r="I158" s="73"/>
      <c r="K158" s="20"/>
      <c r="L158" s="20"/>
    </row>
    <row r="159" spans="2:20" s="19" customFormat="1" ht="15.75" outlineLevel="2" x14ac:dyDescent="0.2">
      <c r="B159" s="82"/>
      <c r="C159" s="143" t="s">
        <v>2</v>
      </c>
      <c r="D159" s="143" t="s">
        <v>332</v>
      </c>
      <c r="E159" s="143"/>
      <c r="F159" s="143" t="s">
        <v>452</v>
      </c>
      <c r="G159" s="145" t="s">
        <v>3</v>
      </c>
      <c r="H159" s="146">
        <v>0.3</v>
      </c>
      <c r="K159" s="20"/>
      <c r="L159" s="20"/>
    </row>
    <row r="160" spans="2:20" s="19" customFormat="1" ht="15.75" outlineLevel="2" x14ac:dyDescent="0.2">
      <c r="B160" s="82"/>
      <c r="C160" s="143" t="s">
        <v>2</v>
      </c>
      <c r="D160" s="143" t="s">
        <v>70</v>
      </c>
      <c r="E160" s="143"/>
      <c r="F160" s="143" t="s">
        <v>453</v>
      </c>
      <c r="G160" s="145"/>
      <c r="H160" s="146">
        <v>20</v>
      </c>
      <c r="K160" s="20"/>
      <c r="L160" s="20"/>
    </row>
    <row r="161" spans="2:19" s="19" customFormat="1" ht="15.75" outlineLevel="2" x14ac:dyDescent="0.2">
      <c r="B161" s="82"/>
      <c r="C161" s="167" t="s">
        <v>8</v>
      </c>
      <c r="D161" s="170" t="s">
        <v>333</v>
      </c>
      <c r="E161" s="170"/>
      <c r="F161" s="168" t="s">
        <v>259</v>
      </c>
      <c r="G161" s="165" t="s">
        <v>10</v>
      </c>
      <c r="H161" s="169">
        <f>SQRT(H158^2-H25^2)</f>
        <v>1.9879896454974419</v>
      </c>
      <c r="K161" s="20"/>
      <c r="L161" s="20"/>
    </row>
    <row r="162" spans="2:19" s="19" customFormat="1" ht="15.75" outlineLevel="2" x14ac:dyDescent="0.2">
      <c r="B162" s="82"/>
      <c r="C162" s="167" t="s">
        <v>8</v>
      </c>
      <c r="D162" s="170" t="s">
        <v>563</v>
      </c>
      <c r="E162" s="170"/>
      <c r="F162" s="168" t="s">
        <v>261</v>
      </c>
      <c r="G162" s="165" t="s">
        <v>9</v>
      </c>
      <c r="H162" s="177">
        <f>(H25*H160/(H159*H43))*1000000</f>
        <v>641.99999999999989</v>
      </c>
      <c r="I162" s="73"/>
      <c r="K162" s="20"/>
      <c r="L162" s="20"/>
    </row>
    <row r="163" spans="2:19" s="19" customFormat="1" ht="15.75" outlineLevel="2" x14ac:dyDescent="0.2">
      <c r="B163" s="82"/>
      <c r="C163" s="143" t="s">
        <v>2</v>
      </c>
      <c r="D163" s="143" t="s">
        <v>652</v>
      </c>
      <c r="E163" s="143"/>
      <c r="F163" s="143" t="s">
        <v>454</v>
      </c>
      <c r="G163" s="145" t="s">
        <v>9</v>
      </c>
      <c r="H163" s="146">
        <v>680</v>
      </c>
      <c r="I163" s="73"/>
      <c r="K163" s="20"/>
      <c r="L163" s="20"/>
    </row>
    <row r="164" spans="2:19" s="19" customFormat="1" ht="15.75" outlineLevel="2" x14ac:dyDescent="0.2">
      <c r="B164" s="82"/>
      <c r="C164" s="143" t="s">
        <v>2</v>
      </c>
      <c r="D164" s="143" t="s">
        <v>94</v>
      </c>
      <c r="E164" s="143"/>
      <c r="F164" s="143" t="s">
        <v>455</v>
      </c>
      <c r="G164" s="145" t="s">
        <v>558</v>
      </c>
      <c r="H164" s="146">
        <v>3.2000000000000001E-2</v>
      </c>
      <c r="I164" s="73"/>
      <c r="K164" s="20"/>
      <c r="L164" s="20"/>
    </row>
    <row r="165" spans="2:19" s="19" customFormat="1" ht="15.75" outlineLevel="2" x14ac:dyDescent="0.2">
      <c r="B165" s="82"/>
      <c r="C165" s="143" t="s">
        <v>2</v>
      </c>
      <c r="D165" s="143" t="s">
        <v>69</v>
      </c>
      <c r="E165" s="143"/>
      <c r="F165" s="143" t="s">
        <v>697</v>
      </c>
      <c r="G165" s="145"/>
      <c r="H165" s="146">
        <v>1</v>
      </c>
      <c r="I165" s="72"/>
      <c r="K165" s="20"/>
      <c r="L165" s="20"/>
    </row>
    <row r="166" spans="2:19" s="19" customFormat="1" ht="15.75" outlineLevel="2" x14ac:dyDescent="0.2">
      <c r="B166" s="82"/>
      <c r="C166" s="167" t="s">
        <v>8</v>
      </c>
      <c r="D166" s="170" t="s">
        <v>334</v>
      </c>
      <c r="E166" s="170"/>
      <c r="F166" s="168" t="s">
        <v>335</v>
      </c>
      <c r="G166" s="165" t="s">
        <v>40</v>
      </c>
      <c r="H166" s="169">
        <f>1/(2*PI()*H164*H163*10^(-6)*1000)</f>
        <v>7.3141058406201909</v>
      </c>
      <c r="K166" s="20"/>
      <c r="L166" s="20"/>
    </row>
    <row r="167" spans="2:19" s="19" customFormat="1" ht="15.75" outlineLevel="2" x14ac:dyDescent="0.2">
      <c r="B167" s="82"/>
      <c r="C167" s="167" t="s">
        <v>8</v>
      </c>
      <c r="D167" s="170" t="s">
        <v>336</v>
      </c>
      <c r="E167" s="170"/>
      <c r="F167" s="168" t="s">
        <v>339</v>
      </c>
      <c r="G167" s="165" t="s">
        <v>3</v>
      </c>
      <c r="H167" s="173">
        <f>H133*H164/H165</f>
        <v>0.17838889768284458</v>
      </c>
      <c r="K167" s="20"/>
      <c r="L167" s="20"/>
    </row>
    <row r="168" spans="2:19" s="19" customFormat="1" ht="15.75" outlineLevel="2" x14ac:dyDescent="0.2">
      <c r="B168" s="82"/>
      <c r="C168" s="143" t="s">
        <v>2</v>
      </c>
      <c r="D168" s="143" t="s">
        <v>653</v>
      </c>
      <c r="E168" s="143"/>
      <c r="F168" s="143" t="s">
        <v>456</v>
      </c>
      <c r="G168" s="145" t="s">
        <v>41</v>
      </c>
      <c r="H168" s="146">
        <v>2.2000000000000002</v>
      </c>
      <c r="J168" s="83"/>
      <c r="K168" s="20"/>
      <c r="L168" s="20"/>
    </row>
    <row r="169" spans="2:19" ht="15.75" outlineLevel="2" x14ac:dyDescent="0.2">
      <c r="B169" s="82"/>
      <c r="C169" s="167" t="s">
        <v>8</v>
      </c>
      <c r="D169" s="170" t="s">
        <v>337</v>
      </c>
      <c r="E169" s="170"/>
      <c r="F169" s="168" t="s">
        <v>338</v>
      </c>
      <c r="G169" s="165" t="s">
        <v>159</v>
      </c>
      <c r="H169" s="172">
        <f>(H164*H163)^2/H168</f>
        <v>215.22618181818183</v>
      </c>
      <c r="I169" s="73"/>
      <c r="J169" s="19"/>
      <c r="K169" s="20"/>
      <c r="L169" s="20"/>
      <c r="M169" s="19"/>
      <c r="N169" s="19"/>
      <c r="O169" s="19"/>
      <c r="P169" s="19"/>
      <c r="Q169" s="19"/>
      <c r="R169" s="19"/>
      <c r="S169" s="19"/>
    </row>
    <row r="170" spans="2:19" ht="15.75" outlineLevel="2" x14ac:dyDescent="0.2">
      <c r="B170" s="82"/>
      <c r="C170" s="143" t="s">
        <v>2</v>
      </c>
      <c r="D170" s="143" t="s">
        <v>654</v>
      </c>
      <c r="E170" s="143"/>
      <c r="F170" s="143" t="s">
        <v>457</v>
      </c>
      <c r="G170" s="145" t="s">
        <v>9</v>
      </c>
      <c r="H170" s="149">
        <v>680</v>
      </c>
      <c r="I170" s="73"/>
      <c r="J170" s="19"/>
      <c r="K170" s="20"/>
      <c r="L170" s="20"/>
      <c r="M170" s="19"/>
      <c r="N170" s="19"/>
      <c r="O170" s="19"/>
      <c r="P170" s="19"/>
      <c r="Q170" s="19"/>
      <c r="R170" s="19"/>
      <c r="S170" s="19"/>
    </row>
    <row r="171" spans="2:19" ht="15.75" outlineLevel="2" x14ac:dyDescent="0.2">
      <c r="B171" s="82"/>
      <c r="C171" s="167" t="s">
        <v>8</v>
      </c>
      <c r="D171" s="170" t="s">
        <v>341</v>
      </c>
      <c r="E171" s="170"/>
      <c r="F171" s="168" t="s">
        <v>340</v>
      </c>
      <c r="G171" s="165" t="s">
        <v>40</v>
      </c>
      <c r="H171" s="169">
        <f>1/(1000*2*PI()*SQRT((H168*10^-6*H170*10^-6)))</f>
        <v>4.1148530937338448</v>
      </c>
      <c r="I171" s="73"/>
      <c r="J171" s="19"/>
      <c r="K171" s="20"/>
      <c r="L171" s="20"/>
      <c r="M171" s="19"/>
      <c r="N171" s="19"/>
      <c r="O171" s="19"/>
      <c r="P171" s="19"/>
      <c r="Q171" s="19"/>
      <c r="R171" s="19"/>
      <c r="S171" s="19"/>
    </row>
    <row r="172" spans="2:19" ht="15.75" outlineLevel="2" x14ac:dyDescent="0.2">
      <c r="B172" s="82"/>
      <c r="C172" s="167" t="s">
        <v>8</v>
      </c>
      <c r="D172" s="170" t="s">
        <v>695</v>
      </c>
      <c r="E172" s="170"/>
      <c r="F172" s="168" t="s">
        <v>401</v>
      </c>
      <c r="G172" s="165" t="s">
        <v>42</v>
      </c>
      <c r="H172" s="169">
        <f>(H167*(1/(2*PI()*H43*H170*10^-6))/((1/(2*PI()*H43*H170*10^-6))+(2*PI()*H43*H168*10^-6)))*1000</f>
        <v>0.30153780238681421</v>
      </c>
      <c r="I172" s="73"/>
      <c r="J172" s="19"/>
      <c r="K172" s="20"/>
      <c r="L172" s="20"/>
      <c r="M172" s="19"/>
      <c r="N172" s="19"/>
      <c r="O172" s="19"/>
      <c r="P172" s="19"/>
      <c r="Q172" s="19"/>
      <c r="R172" s="19"/>
      <c r="S172" s="19"/>
    </row>
    <row r="173" spans="2:19" s="85" customFormat="1" outlineLevel="2" x14ac:dyDescent="0.2">
      <c r="B173" s="82"/>
      <c r="C173" s="32"/>
      <c r="D173" s="29"/>
      <c r="E173" s="29"/>
      <c r="F173" s="28"/>
      <c r="G173" s="30"/>
      <c r="H173" s="18"/>
      <c r="I173" s="73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2:19" s="19" customFormat="1" x14ac:dyDescent="0.2">
      <c r="B174" s="27" t="s">
        <v>349</v>
      </c>
      <c r="G174" s="46"/>
      <c r="H174" s="73"/>
      <c r="K174" s="20"/>
      <c r="L174" s="20"/>
    </row>
    <row r="175" spans="2:19" s="19" customFormat="1" outlineLevel="1" x14ac:dyDescent="0.2">
      <c r="B175" s="27"/>
      <c r="C175" s="27" t="s">
        <v>349</v>
      </c>
      <c r="G175" s="46"/>
      <c r="H175" s="73"/>
      <c r="K175" s="20"/>
      <c r="L175" s="20"/>
    </row>
    <row r="176" spans="2:19" s="19" customFormat="1" ht="15.75" outlineLevel="2" x14ac:dyDescent="0.2">
      <c r="B176" s="26"/>
      <c r="C176" s="167" t="s">
        <v>8</v>
      </c>
      <c r="D176" s="170" t="s">
        <v>655</v>
      </c>
      <c r="E176" s="170"/>
      <c r="F176" s="168" t="s">
        <v>258</v>
      </c>
      <c r="G176" s="165" t="s">
        <v>3</v>
      </c>
      <c r="H176" s="169">
        <f>H95+(H51*H94/H90)</f>
        <v>79.515323479670968</v>
      </c>
      <c r="I176" s="73"/>
      <c r="K176" s="20"/>
      <c r="L176" s="20"/>
    </row>
    <row r="177" spans="2:12" s="19" customFormat="1" ht="15.75" outlineLevel="2" x14ac:dyDescent="0.2">
      <c r="B177" s="26"/>
      <c r="C177" s="143" t="s">
        <v>2</v>
      </c>
      <c r="D177" s="143" t="s">
        <v>350</v>
      </c>
      <c r="E177" s="143"/>
      <c r="F177" s="143" t="s">
        <v>698</v>
      </c>
      <c r="G177" s="145" t="s">
        <v>11</v>
      </c>
      <c r="H177" s="146">
        <v>12</v>
      </c>
      <c r="I177" s="20"/>
      <c r="K177" s="20"/>
      <c r="L177" s="20"/>
    </row>
    <row r="178" spans="2:12" s="19" customFormat="1" ht="15.75" outlineLevel="2" x14ac:dyDescent="0.2">
      <c r="B178" s="26"/>
      <c r="C178" s="143" t="s">
        <v>2</v>
      </c>
      <c r="D178" s="143" t="s">
        <v>861</v>
      </c>
      <c r="E178" s="143"/>
      <c r="F178" s="143" t="s">
        <v>862</v>
      </c>
      <c r="G178" s="145" t="s">
        <v>74</v>
      </c>
      <c r="H178" s="146">
        <v>3</v>
      </c>
      <c r="I178" s="20"/>
      <c r="K178" s="20"/>
      <c r="L178" s="20"/>
    </row>
    <row r="179" spans="2:12" s="19" customFormat="1" ht="15.75" outlineLevel="2" x14ac:dyDescent="0.2">
      <c r="B179" s="26"/>
      <c r="C179" s="143" t="s">
        <v>2</v>
      </c>
      <c r="D179" s="143" t="s">
        <v>699</v>
      </c>
      <c r="E179" s="143"/>
      <c r="F179" s="143" t="s">
        <v>701</v>
      </c>
      <c r="G179" s="145" t="s">
        <v>3</v>
      </c>
      <c r="H179" s="149">
        <v>16</v>
      </c>
      <c r="J179" s="20"/>
      <c r="K179" s="20"/>
    </row>
    <row r="180" spans="2:12" s="19" customFormat="1" ht="15.75" outlineLevel="2" x14ac:dyDescent="0.2">
      <c r="B180" s="26"/>
      <c r="C180" s="143" t="s">
        <v>2</v>
      </c>
      <c r="D180" s="143" t="s">
        <v>700</v>
      </c>
      <c r="E180" s="143"/>
      <c r="F180" s="143" t="s">
        <v>702</v>
      </c>
      <c r="G180" s="145" t="s">
        <v>3</v>
      </c>
      <c r="H180" s="149">
        <v>10</v>
      </c>
      <c r="J180" s="20"/>
      <c r="K180" s="20"/>
    </row>
    <row r="181" spans="2:12" s="19" customFormat="1" ht="15.75" outlineLevel="2" x14ac:dyDescent="0.2">
      <c r="B181" s="26"/>
      <c r="C181" s="167" t="s">
        <v>8</v>
      </c>
      <c r="D181" s="170" t="s">
        <v>463</v>
      </c>
      <c r="E181" s="170"/>
      <c r="F181" s="168" t="s">
        <v>351</v>
      </c>
      <c r="G181" s="165" t="s">
        <v>9</v>
      </c>
      <c r="H181" s="169">
        <f>H178*H177/(H179-H180)</f>
        <v>6</v>
      </c>
      <c r="K181" s="20"/>
      <c r="L181" s="20"/>
    </row>
    <row r="182" spans="2:12" s="19" customFormat="1" ht="15.75" outlineLevel="2" x14ac:dyDescent="0.2">
      <c r="B182" s="26"/>
      <c r="C182" s="143" t="s">
        <v>2</v>
      </c>
      <c r="D182" s="143" t="s">
        <v>656</v>
      </c>
      <c r="E182" s="143"/>
      <c r="F182" s="143" t="s">
        <v>88</v>
      </c>
      <c r="G182" s="145" t="s">
        <v>9</v>
      </c>
      <c r="H182" s="150">
        <v>22</v>
      </c>
      <c r="K182" s="20"/>
      <c r="L182" s="20"/>
    </row>
    <row r="183" spans="2:12" s="19" customFormat="1" ht="15.75" outlineLevel="2" x14ac:dyDescent="0.2">
      <c r="B183" s="26"/>
      <c r="C183" s="143" t="s">
        <v>2</v>
      </c>
      <c r="D183" s="143" t="s">
        <v>706</v>
      </c>
      <c r="E183" s="143"/>
      <c r="F183" s="143" t="s">
        <v>705</v>
      </c>
      <c r="G183" s="145" t="s">
        <v>3</v>
      </c>
      <c r="H183" s="146">
        <v>1.1000000000000001</v>
      </c>
      <c r="K183" s="20"/>
      <c r="L183" s="20"/>
    </row>
    <row r="184" spans="2:12" s="19" customFormat="1" ht="15.75" outlineLevel="2" x14ac:dyDescent="0.2">
      <c r="B184" s="26"/>
      <c r="C184" s="143" t="s">
        <v>2</v>
      </c>
      <c r="D184" s="143" t="s">
        <v>703</v>
      </c>
      <c r="E184" s="143"/>
      <c r="F184" s="143" t="s">
        <v>704</v>
      </c>
      <c r="G184" s="145" t="s">
        <v>74</v>
      </c>
      <c r="H184" s="146">
        <v>0.2</v>
      </c>
      <c r="K184" s="20"/>
      <c r="L184" s="20"/>
    </row>
    <row r="185" spans="2:12" s="19" customFormat="1" ht="15.75" outlineLevel="2" x14ac:dyDescent="0.2">
      <c r="B185" s="26"/>
      <c r="C185" s="167" t="s">
        <v>8</v>
      </c>
      <c r="D185" s="170" t="s">
        <v>352</v>
      </c>
      <c r="E185" s="170"/>
      <c r="F185" s="168" t="s">
        <v>473</v>
      </c>
      <c r="G185" s="165" t="s">
        <v>11</v>
      </c>
      <c r="H185" s="171">
        <f>H183*H182/H184+(H179-H183)*H182/H178</f>
        <v>230.26666666666668</v>
      </c>
      <c r="K185" s="20"/>
      <c r="L185" s="20"/>
    </row>
    <row r="186" spans="2:12" s="20" customFormat="1" outlineLevel="2" x14ac:dyDescent="0.2">
      <c r="B186" s="26"/>
      <c r="C186" s="32"/>
      <c r="D186" s="29"/>
      <c r="E186" s="29"/>
      <c r="F186" s="28"/>
      <c r="G186" s="30"/>
      <c r="H186" s="69"/>
    </row>
    <row r="187" spans="2:12" s="19" customFormat="1" x14ac:dyDescent="0.2">
      <c r="B187" s="27" t="s">
        <v>91</v>
      </c>
      <c r="D187" s="25"/>
      <c r="E187" s="25"/>
      <c r="F187" s="20"/>
      <c r="G187" s="46"/>
      <c r="H187" s="65"/>
      <c r="K187" s="20"/>
      <c r="L187" s="20"/>
    </row>
    <row r="188" spans="2:12" s="19" customFormat="1" outlineLevel="1" x14ac:dyDescent="0.2">
      <c r="B188" s="26"/>
      <c r="C188" s="27" t="s">
        <v>43</v>
      </c>
      <c r="K188" s="20"/>
      <c r="L188" s="20"/>
    </row>
    <row r="189" spans="2:12" s="19" customFormat="1" ht="15.75" outlineLevel="2" x14ac:dyDescent="0.2">
      <c r="B189" s="26"/>
      <c r="C189" s="143" t="s">
        <v>2</v>
      </c>
      <c r="D189" s="143" t="s">
        <v>353</v>
      </c>
      <c r="E189" s="143"/>
      <c r="F189" s="143" t="s">
        <v>464</v>
      </c>
      <c r="G189" s="145" t="s">
        <v>3</v>
      </c>
      <c r="H189" s="146">
        <v>1</v>
      </c>
      <c r="K189" s="20"/>
      <c r="L189" s="20"/>
    </row>
    <row r="190" spans="2:12" s="19" customFormat="1" ht="15.75" outlineLevel="2" x14ac:dyDescent="0.2">
      <c r="B190" s="26"/>
      <c r="C190" s="167" t="s">
        <v>8</v>
      </c>
      <c r="D190" s="170" t="s">
        <v>354</v>
      </c>
      <c r="E190" s="170"/>
      <c r="F190" s="168" t="s">
        <v>117</v>
      </c>
      <c r="G190" s="165" t="s">
        <v>5</v>
      </c>
      <c r="H190" s="169">
        <f>H50*H189*2</f>
        <v>0.8032128514056226</v>
      </c>
      <c r="I190" s="20"/>
      <c r="K190" s="20"/>
      <c r="L190" s="20"/>
    </row>
    <row r="191" spans="2:12" s="20" customFormat="1" outlineLevel="2" x14ac:dyDescent="0.2">
      <c r="B191" s="26"/>
      <c r="C191" s="32"/>
      <c r="D191" s="29"/>
      <c r="E191" s="29"/>
      <c r="F191" s="28"/>
      <c r="G191" s="30"/>
      <c r="H191" s="18"/>
    </row>
    <row r="192" spans="2:12" s="19" customFormat="1" outlineLevel="1" x14ac:dyDescent="0.2">
      <c r="B192" s="26"/>
      <c r="C192" s="27" t="s">
        <v>360</v>
      </c>
      <c r="K192" s="20"/>
      <c r="L192" s="20"/>
    </row>
    <row r="193" spans="2:19" s="19" customFormat="1" ht="15.75" outlineLevel="2" x14ac:dyDescent="0.2">
      <c r="B193" s="26"/>
      <c r="C193" s="167" t="s">
        <v>8</v>
      </c>
      <c r="D193" s="170" t="s">
        <v>490</v>
      </c>
      <c r="E193" s="170"/>
      <c r="F193" s="168" t="s">
        <v>118</v>
      </c>
      <c r="G193" s="165" t="s">
        <v>559</v>
      </c>
      <c r="H193" s="169">
        <f>H86*0.001*H90*17.2/H120</f>
        <v>1068.4580254597583</v>
      </c>
      <c r="I193" s="73"/>
      <c r="K193" s="20"/>
      <c r="L193" s="20"/>
    </row>
    <row r="194" spans="2:19" s="19" customFormat="1" ht="15.75" outlineLevel="2" x14ac:dyDescent="0.2">
      <c r="B194" s="26"/>
      <c r="C194" s="167" t="s">
        <v>8</v>
      </c>
      <c r="D194" s="170" t="s">
        <v>491</v>
      </c>
      <c r="E194" s="170"/>
      <c r="F194" s="168" t="s">
        <v>356</v>
      </c>
      <c r="G194" s="165" t="s">
        <v>559</v>
      </c>
      <c r="H194" s="169">
        <f>H86*0.001*H92*17.2/H132</f>
        <v>25.900586570673983</v>
      </c>
      <c r="I194" s="73"/>
      <c r="K194" s="25"/>
      <c r="L194" s="25"/>
    </row>
    <row r="195" spans="2:19" s="19" customFormat="1" ht="15.75" outlineLevel="2" x14ac:dyDescent="0.2">
      <c r="B195" s="26"/>
      <c r="C195" s="167" t="s">
        <v>8</v>
      </c>
      <c r="D195" s="170" t="s">
        <v>493</v>
      </c>
      <c r="E195" s="170"/>
      <c r="F195" s="168" t="s">
        <v>119</v>
      </c>
      <c r="G195" s="165" t="s">
        <v>44</v>
      </c>
      <c r="H195" s="169">
        <f>H76^2*H193</f>
        <v>133.63357982184053</v>
      </c>
      <c r="I195" s="73"/>
      <c r="K195" s="20"/>
      <c r="L195" s="20"/>
    </row>
    <row r="196" spans="2:19" s="19" customFormat="1" ht="15.75" outlineLevel="2" x14ac:dyDescent="0.2">
      <c r="B196" s="26"/>
      <c r="C196" s="167" t="s">
        <v>8</v>
      </c>
      <c r="D196" s="170" t="s">
        <v>494</v>
      </c>
      <c r="E196" s="170"/>
      <c r="F196" s="168" t="s">
        <v>359</v>
      </c>
      <c r="G196" s="165" t="s">
        <v>44</v>
      </c>
      <c r="H196" s="169">
        <f>H158^2*H194</f>
        <v>126.38118256775103</v>
      </c>
      <c r="K196" s="20"/>
      <c r="L196" s="20"/>
    </row>
    <row r="197" spans="2:19" s="19" customFormat="1" ht="15.75" outlineLevel="2" x14ac:dyDescent="0.2">
      <c r="B197" s="26"/>
      <c r="C197" s="167" t="s">
        <v>8</v>
      </c>
      <c r="D197" s="170" t="s">
        <v>496</v>
      </c>
      <c r="E197" s="170"/>
      <c r="F197" s="168" t="s">
        <v>120</v>
      </c>
      <c r="G197" s="165" t="s">
        <v>5</v>
      </c>
      <c r="H197" s="174">
        <f>SUM(H195:H196)/1000</f>
        <v>0.26001476238959159</v>
      </c>
      <c r="K197" s="20"/>
      <c r="L197" s="20"/>
    </row>
    <row r="198" spans="2:19" s="20" customFormat="1" outlineLevel="2" x14ac:dyDescent="0.2">
      <c r="B198" s="26"/>
      <c r="C198" s="32"/>
      <c r="D198" s="29"/>
      <c r="E198" s="29"/>
      <c r="F198" s="28"/>
      <c r="G198" s="30"/>
      <c r="H198" s="86"/>
    </row>
    <row r="199" spans="2:19" s="19" customFormat="1" outlineLevel="1" x14ac:dyDescent="0.2">
      <c r="B199" s="26"/>
      <c r="C199" s="27" t="s">
        <v>45</v>
      </c>
      <c r="K199" s="20"/>
      <c r="L199" s="20"/>
    </row>
    <row r="200" spans="2:19" s="20" customFormat="1" ht="15.75" outlineLevel="2" x14ac:dyDescent="0.2">
      <c r="B200" s="26"/>
      <c r="C200" s="167" t="s">
        <v>8</v>
      </c>
      <c r="D200" s="170" t="s">
        <v>497</v>
      </c>
      <c r="E200" s="170"/>
      <c r="F200" s="168" t="s">
        <v>361</v>
      </c>
      <c r="G200" s="165" t="s">
        <v>5</v>
      </c>
      <c r="H200" s="169">
        <f>H158*H26</f>
        <v>1.325371592806265</v>
      </c>
      <c r="I200" s="73"/>
      <c r="J200" s="19"/>
      <c r="K200" s="46"/>
      <c r="L200" s="46"/>
      <c r="M200" s="19"/>
      <c r="N200" s="19"/>
      <c r="O200" s="19"/>
      <c r="P200" s="19"/>
      <c r="Q200" s="19"/>
      <c r="R200" s="19"/>
      <c r="S200" s="19"/>
    </row>
    <row r="201" spans="2:19" s="20" customFormat="1" outlineLevel="2" x14ac:dyDescent="0.2">
      <c r="B201" s="26"/>
      <c r="C201" s="32"/>
      <c r="D201" s="29"/>
      <c r="E201" s="29"/>
      <c r="F201" s="28"/>
      <c r="G201" s="30"/>
      <c r="H201" s="18"/>
      <c r="I201" s="73"/>
      <c r="K201" s="46"/>
      <c r="L201" s="46"/>
    </row>
    <row r="202" spans="2:19" s="19" customFormat="1" outlineLevel="1" x14ac:dyDescent="0.2">
      <c r="B202" s="26"/>
      <c r="C202" s="27" t="s">
        <v>151</v>
      </c>
      <c r="D202" s="20"/>
      <c r="E202" s="20"/>
      <c r="F202" s="20"/>
      <c r="G202" s="46"/>
      <c r="H202" s="74"/>
      <c r="I202" s="73"/>
      <c r="J202" s="20"/>
      <c r="K202" s="46"/>
      <c r="L202" s="46"/>
      <c r="M202" s="20"/>
      <c r="N202" s="20"/>
      <c r="O202" s="20"/>
      <c r="P202" s="20"/>
      <c r="Q202" s="20"/>
      <c r="R202" s="20"/>
      <c r="S202" s="20"/>
    </row>
    <row r="203" spans="2:19" s="19" customFormat="1" ht="15.75" outlineLevel="2" x14ac:dyDescent="0.2">
      <c r="B203" s="26"/>
      <c r="C203" s="167" t="s">
        <v>8</v>
      </c>
      <c r="D203" s="170" t="s">
        <v>499</v>
      </c>
      <c r="E203" s="170"/>
      <c r="F203" s="168" t="s">
        <v>175</v>
      </c>
      <c r="G203" s="165" t="s">
        <v>5</v>
      </c>
      <c r="H203" s="169">
        <f>0.5*H144*H74^2*H43*(H145+H99)/H145</f>
        <v>0.90566409713063523</v>
      </c>
      <c r="I203" s="73"/>
      <c r="K203" s="46"/>
      <c r="L203" s="46"/>
    </row>
    <row r="204" spans="2:19" s="20" customFormat="1" outlineLevel="2" x14ac:dyDescent="0.2">
      <c r="B204" s="26"/>
      <c r="C204" s="32"/>
      <c r="D204" s="29"/>
      <c r="E204" s="29"/>
      <c r="F204" s="28"/>
      <c r="G204" s="30"/>
      <c r="H204" s="18"/>
      <c r="I204" s="73"/>
      <c r="K204" s="46"/>
      <c r="L204" s="46"/>
    </row>
    <row r="205" spans="2:19" s="19" customFormat="1" outlineLevel="1" x14ac:dyDescent="0.2">
      <c r="B205" s="26"/>
      <c r="C205" s="27" t="s">
        <v>331</v>
      </c>
      <c r="D205" s="20"/>
      <c r="E205" s="20"/>
      <c r="F205" s="20"/>
      <c r="G205" s="46"/>
      <c r="H205" s="74"/>
      <c r="I205" s="73"/>
      <c r="J205" s="20"/>
      <c r="K205" s="46"/>
      <c r="L205" s="46"/>
      <c r="M205" s="20"/>
      <c r="N205" s="20"/>
      <c r="O205" s="20"/>
      <c r="P205" s="20"/>
      <c r="Q205" s="20"/>
      <c r="R205" s="20"/>
      <c r="S205" s="20"/>
    </row>
    <row r="206" spans="2:19" s="19" customFormat="1" ht="15.75" outlineLevel="2" x14ac:dyDescent="0.2">
      <c r="B206" s="26"/>
      <c r="C206" s="167" t="s">
        <v>8</v>
      </c>
      <c r="D206" s="170" t="s">
        <v>500</v>
      </c>
      <c r="E206" s="170"/>
      <c r="F206" s="168" t="s">
        <v>255</v>
      </c>
      <c r="G206" s="165" t="s">
        <v>5</v>
      </c>
      <c r="H206" s="169">
        <f>H76^2*H153</f>
        <v>0.11666581980758059</v>
      </c>
      <c r="I206" s="73"/>
      <c r="K206" s="46"/>
      <c r="L206" s="46"/>
    </row>
    <row r="207" spans="2:19" s="20" customFormat="1" outlineLevel="2" x14ac:dyDescent="0.2">
      <c r="B207" s="26"/>
      <c r="C207" s="32"/>
      <c r="D207" s="29"/>
      <c r="E207" s="29"/>
      <c r="F207" s="28"/>
      <c r="G207" s="30"/>
      <c r="H207" s="18"/>
      <c r="I207" s="73"/>
      <c r="K207" s="46"/>
      <c r="L207" s="46"/>
    </row>
    <row r="208" spans="2:19" s="19" customFormat="1" outlineLevel="1" x14ac:dyDescent="0.2">
      <c r="B208" s="26"/>
      <c r="C208" s="27" t="s">
        <v>89</v>
      </c>
      <c r="D208" s="20"/>
      <c r="E208" s="20"/>
      <c r="F208" s="20"/>
      <c r="G208" s="46"/>
      <c r="H208" s="18"/>
      <c r="I208" s="73"/>
      <c r="K208" s="46"/>
      <c r="L208" s="46"/>
    </row>
    <row r="209" spans="2:16" s="19" customFormat="1" ht="19.5" outlineLevel="2" x14ac:dyDescent="0.2">
      <c r="B209" s="26"/>
      <c r="C209" s="143" t="s">
        <v>2</v>
      </c>
      <c r="D209" s="143" t="s">
        <v>465</v>
      </c>
      <c r="E209" s="143"/>
      <c r="F209" s="143" t="s">
        <v>466</v>
      </c>
      <c r="G209" s="145" t="s">
        <v>558</v>
      </c>
      <c r="H209" s="150">
        <v>8.69</v>
      </c>
      <c r="K209" s="20"/>
      <c r="L209" s="20"/>
    </row>
    <row r="210" spans="2:16" s="19" customFormat="1" ht="15.75" outlineLevel="2" x14ac:dyDescent="0.2">
      <c r="B210" s="26"/>
      <c r="C210" s="143" t="s">
        <v>2</v>
      </c>
      <c r="D210" s="143" t="s">
        <v>95</v>
      </c>
      <c r="E210" s="143"/>
      <c r="F210" s="143" t="s">
        <v>707</v>
      </c>
      <c r="G210" s="145" t="s">
        <v>46</v>
      </c>
      <c r="H210" s="150">
        <v>3</v>
      </c>
      <c r="K210" s="20"/>
      <c r="L210" s="46"/>
      <c r="M210" s="46"/>
      <c r="N210" s="46"/>
      <c r="O210" s="46"/>
      <c r="P210" s="46"/>
    </row>
    <row r="211" spans="2:16" s="19" customFormat="1" ht="15.75" outlineLevel="2" x14ac:dyDescent="0.2">
      <c r="B211" s="26"/>
      <c r="C211" s="143" t="s">
        <v>2</v>
      </c>
      <c r="D211" s="143" t="s">
        <v>708</v>
      </c>
      <c r="E211" s="143"/>
      <c r="F211" s="143" t="s">
        <v>467</v>
      </c>
      <c r="G211" s="145" t="s">
        <v>46</v>
      </c>
      <c r="H211" s="150">
        <v>0</v>
      </c>
      <c r="K211" s="20"/>
      <c r="L211" s="46"/>
      <c r="M211" s="46"/>
      <c r="N211" s="46"/>
      <c r="O211" s="46"/>
      <c r="P211" s="46"/>
    </row>
    <row r="212" spans="2:16" s="19" customFormat="1" ht="15.75" outlineLevel="2" x14ac:dyDescent="0.2">
      <c r="B212" s="26"/>
      <c r="C212" s="167" t="s">
        <v>8</v>
      </c>
      <c r="D212" s="170" t="s">
        <v>501</v>
      </c>
      <c r="E212" s="170"/>
      <c r="F212" s="168" t="s">
        <v>364</v>
      </c>
      <c r="G212" s="165" t="s">
        <v>5</v>
      </c>
      <c r="H212" s="174">
        <f>0.5*(H210+H211)*10^-12*(H60+H99)^2*H43</f>
        <v>5.7056425847637829E-3</v>
      </c>
      <c r="K212" s="20"/>
      <c r="L212" s="20"/>
    </row>
    <row r="213" spans="2:16" s="19" customFormat="1" ht="15.75" outlineLevel="2" x14ac:dyDescent="0.2">
      <c r="B213" s="26"/>
      <c r="C213" s="167" t="s">
        <v>8</v>
      </c>
      <c r="D213" s="170" t="s">
        <v>502</v>
      </c>
      <c r="E213" s="170"/>
      <c r="F213" s="168" t="s">
        <v>365</v>
      </c>
      <c r="G213" s="165" t="s">
        <v>5</v>
      </c>
      <c r="H213" s="174">
        <f>H76^2*H209</f>
        <v>1.0868707810511284</v>
      </c>
      <c r="K213" s="20"/>
      <c r="L213" s="20"/>
    </row>
    <row r="214" spans="2:16" s="19" customFormat="1" ht="15.75" outlineLevel="2" x14ac:dyDescent="0.2">
      <c r="B214" s="26"/>
      <c r="C214" s="167" t="s">
        <v>8</v>
      </c>
      <c r="D214" s="170" t="s">
        <v>503</v>
      </c>
      <c r="E214" s="170"/>
      <c r="F214" s="168" t="s">
        <v>366</v>
      </c>
      <c r="G214" s="165" t="s">
        <v>5</v>
      </c>
      <c r="H214" s="174">
        <f>SUM(H212:H213)</f>
        <v>1.0925764236358921</v>
      </c>
      <c r="K214" s="20"/>
      <c r="L214" s="20"/>
    </row>
    <row r="215" spans="2:16" s="19" customFormat="1" ht="15.75" outlineLevel="2" x14ac:dyDescent="0.2">
      <c r="B215" s="26"/>
      <c r="C215" s="167" t="s">
        <v>8</v>
      </c>
      <c r="D215" s="170" t="s">
        <v>504</v>
      </c>
      <c r="E215" s="170"/>
      <c r="F215" s="168" t="s">
        <v>367</v>
      </c>
      <c r="G215" s="165" t="s">
        <v>5</v>
      </c>
      <c r="H215" s="174">
        <f>0.5*(H210+H211)*10^-12*(H51+H99)^2*H43</f>
        <v>4.8409018267238556E-2</v>
      </c>
      <c r="K215" s="20"/>
      <c r="L215" s="20"/>
    </row>
    <row r="216" spans="2:16" s="19" customFormat="1" ht="15.75" outlineLevel="2" x14ac:dyDescent="0.2">
      <c r="B216" s="26"/>
      <c r="C216" s="167" t="s">
        <v>8</v>
      </c>
      <c r="D216" s="170" t="s">
        <v>505</v>
      </c>
      <c r="E216" s="170"/>
      <c r="F216" s="168" t="s">
        <v>368</v>
      </c>
      <c r="G216" s="165" t="s">
        <v>5</v>
      </c>
      <c r="H216" s="174">
        <f>(1/3)*H209*H74^2*H71*H74*H43/H51</f>
        <v>0.21805944158586846</v>
      </c>
      <c r="K216" s="20"/>
      <c r="L216" s="20"/>
    </row>
    <row r="217" spans="2:16" s="19" customFormat="1" ht="15.75" outlineLevel="2" x14ac:dyDescent="0.2">
      <c r="B217" s="26"/>
      <c r="C217" s="167" t="s">
        <v>8</v>
      </c>
      <c r="D217" s="170" t="s">
        <v>506</v>
      </c>
      <c r="E217" s="170"/>
      <c r="F217" s="168" t="s">
        <v>369</v>
      </c>
      <c r="G217" s="165" t="s">
        <v>5</v>
      </c>
      <c r="H217" s="174">
        <f>SUM(H215:H216)</f>
        <v>0.26646845985310702</v>
      </c>
      <c r="K217" s="20"/>
      <c r="L217" s="20"/>
    </row>
    <row r="218" spans="2:16" s="20" customFormat="1" ht="15.75" outlineLevel="2" x14ac:dyDescent="0.2">
      <c r="B218" s="26"/>
      <c r="C218" s="167" t="s">
        <v>8</v>
      </c>
      <c r="D218" s="170" t="s">
        <v>507</v>
      </c>
      <c r="E218" s="170"/>
      <c r="F218" s="168" t="s">
        <v>711</v>
      </c>
      <c r="G218" s="165" t="s">
        <v>5</v>
      </c>
      <c r="H218" s="174">
        <f>MAX(H214,H217)</f>
        <v>1.0925764236358921</v>
      </c>
    </row>
    <row r="219" spans="2:16" s="20" customFormat="1" outlineLevel="2" x14ac:dyDescent="0.2">
      <c r="B219" s="26"/>
      <c r="C219" s="32"/>
      <c r="D219" s="29"/>
      <c r="E219" s="29"/>
      <c r="F219" s="28"/>
      <c r="G219" s="30"/>
      <c r="H219" s="86"/>
    </row>
    <row r="220" spans="2:16" s="19" customFormat="1" outlineLevel="1" x14ac:dyDescent="0.2">
      <c r="B220" s="26"/>
      <c r="C220" s="26" t="s">
        <v>152</v>
      </c>
      <c r="D220" s="20"/>
      <c r="E220" s="20"/>
      <c r="F220" s="20"/>
      <c r="G220" s="46"/>
      <c r="H220" s="74"/>
      <c r="I220" s="20"/>
      <c r="K220" s="20"/>
      <c r="L220" s="20"/>
    </row>
    <row r="221" spans="2:16" s="20" customFormat="1" ht="15.75" outlineLevel="2" x14ac:dyDescent="0.2">
      <c r="B221" s="26"/>
      <c r="C221" s="143" t="s">
        <v>2</v>
      </c>
      <c r="D221" s="143" t="s">
        <v>370</v>
      </c>
      <c r="E221" s="143"/>
      <c r="F221" s="143" t="s">
        <v>709</v>
      </c>
      <c r="G221" s="145" t="s">
        <v>74</v>
      </c>
      <c r="H221" s="158">
        <v>0.9</v>
      </c>
    </row>
    <row r="222" spans="2:16" s="19" customFormat="1" ht="15.75" outlineLevel="2" x14ac:dyDescent="0.2">
      <c r="B222" s="26"/>
      <c r="C222" s="167" t="s">
        <v>8</v>
      </c>
      <c r="D222" s="168" t="s">
        <v>508</v>
      </c>
      <c r="E222" s="168"/>
      <c r="F222" s="168" t="s">
        <v>710</v>
      </c>
      <c r="G222" s="165" t="s">
        <v>5</v>
      </c>
      <c r="H222" s="174">
        <f>H95*H221*10^-3</f>
        <v>1.2330000000000001E-2</v>
      </c>
      <c r="K222" s="20"/>
      <c r="L222" s="20"/>
    </row>
    <row r="223" spans="2:16" s="20" customFormat="1" outlineLevel="2" x14ac:dyDescent="0.2">
      <c r="B223" s="26"/>
      <c r="C223" s="32"/>
      <c r="D223" s="28"/>
      <c r="E223" s="28"/>
      <c r="F223" s="28"/>
      <c r="G223" s="30"/>
      <c r="H223" s="86"/>
    </row>
    <row r="224" spans="2:16" s="19" customFormat="1" outlineLevel="1" x14ac:dyDescent="0.2">
      <c r="B224" s="26"/>
      <c r="C224" s="26" t="s">
        <v>174</v>
      </c>
      <c r="D224" s="20"/>
      <c r="E224" s="20"/>
      <c r="F224" s="20"/>
      <c r="G224" s="46"/>
      <c r="H224" s="18"/>
      <c r="I224" s="73"/>
      <c r="K224" s="46"/>
      <c r="L224" s="46"/>
    </row>
    <row r="225" spans="2:34" s="19" customFormat="1" ht="15.75" outlineLevel="2" x14ac:dyDescent="0.2">
      <c r="B225" s="26"/>
      <c r="C225" s="167" t="s">
        <v>8</v>
      </c>
      <c r="D225" s="168" t="s">
        <v>509</v>
      </c>
      <c r="E225" s="168"/>
      <c r="F225" s="168" t="s">
        <v>85</v>
      </c>
      <c r="G225" s="165" t="s">
        <v>5</v>
      </c>
      <c r="H225" s="169">
        <f>SUM(H190+H197+H200+H203+H206+H218+H222)</f>
        <v>4.5158355471755875</v>
      </c>
      <c r="I225" s="73"/>
      <c r="K225" s="46"/>
      <c r="L225" s="46"/>
    </row>
    <row r="226" spans="2:34" s="19" customFormat="1" ht="15.75" outlineLevel="2" x14ac:dyDescent="0.2">
      <c r="B226" s="26"/>
      <c r="C226" s="167" t="s">
        <v>8</v>
      </c>
      <c r="D226" s="168" t="s">
        <v>510</v>
      </c>
      <c r="E226" s="168"/>
      <c r="F226" s="168" t="s">
        <v>712</v>
      </c>
      <c r="G226" s="175" t="s">
        <v>371</v>
      </c>
      <c r="H226" s="176">
        <f>H37/(H37+H225)</f>
        <v>0.79011572489136317</v>
      </c>
      <c r="I226" s="73"/>
      <c r="K226" s="46"/>
      <c r="L226" s="46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</row>
    <row r="227" spans="2:34" s="20" customFormat="1" outlineLevel="2" x14ac:dyDescent="0.2">
      <c r="B227" s="26"/>
      <c r="C227" s="32"/>
      <c r="D227" s="28"/>
      <c r="E227" s="28"/>
      <c r="F227" s="28"/>
      <c r="G227" s="48"/>
      <c r="H227" s="88"/>
      <c r="I227" s="73"/>
      <c r="K227" s="46"/>
      <c r="L227" s="46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</row>
    <row r="228" spans="2:34" s="19" customFormat="1" x14ac:dyDescent="0.2">
      <c r="B228" s="26" t="s">
        <v>555</v>
      </c>
      <c r="D228" s="20"/>
      <c r="E228" s="20"/>
      <c r="F228" s="20"/>
      <c r="G228" s="46"/>
      <c r="H228" s="74"/>
      <c r="I228" s="20"/>
      <c r="K228" s="20"/>
      <c r="L228" s="20"/>
    </row>
    <row r="229" spans="2:34" s="19" customFormat="1" outlineLevel="1" x14ac:dyDescent="0.2">
      <c r="B229" s="27"/>
      <c r="C229" s="26" t="s">
        <v>555</v>
      </c>
      <c r="D229" s="20"/>
      <c r="E229" s="20"/>
      <c r="F229" s="20"/>
      <c r="G229" s="46"/>
      <c r="H229" s="74"/>
      <c r="I229" s="20"/>
      <c r="K229" s="20"/>
      <c r="L229" s="20"/>
    </row>
    <row r="230" spans="2:34" s="20" customFormat="1" ht="15.75" outlineLevel="2" x14ac:dyDescent="0.2">
      <c r="B230" s="26"/>
      <c r="C230" s="143" t="s">
        <v>2</v>
      </c>
      <c r="D230" s="143" t="s">
        <v>844</v>
      </c>
      <c r="E230" s="143"/>
      <c r="F230" s="143" t="s">
        <v>845</v>
      </c>
      <c r="G230" s="145" t="s">
        <v>82</v>
      </c>
      <c r="H230" s="158">
        <v>65</v>
      </c>
    </row>
    <row r="231" spans="2:34" s="20" customFormat="1" outlineLevel="2" x14ac:dyDescent="0.2">
      <c r="B231" s="26"/>
      <c r="C231" s="167" t="s">
        <v>8</v>
      </c>
      <c r="D231" s="168" t="s">
        <v>511</v>
      </c>
      <c r="E231" s="168"/>
      <c r="F231" s="168" t="s">
        <v>160</v>
      </c>
      <c r="G231" s="165" t="s">
        <v>83</v>
      </c>
      <c r="H231" s="172">
        <f>H230*H218</f>
        <v>71.017467536332987</v>
      </c>
    </row>
    <row r="232" spans="2:34" s="19" customFormat="1" ht="15.75" outlineLevel="2" x14ac:dyDescent="0.2">
      <c r="B232" s="26"/>
      <c r="C232" s="167" t="s">
        <v>8</v>
      </c>
      <c r="D232" s="168" t="s">
        <v>512</v>
      </c>
      <c r="E232" s="168"/>
      <c r="F232" s="168" t="s">
        <v>87</v>
      </c>
      <c r="G232" s="165" t="s">
        <v>84</v>
      </c>
      <c r="H232" s="172">
        <f>H45+H231</f>
        <v>121.01746753633299</v>
      </c>
      <c r="I232" s="33" t="str">
        <f>IF(H232&gt;125, "Caution! Junction temperature too high. Make sure to add a copper pour (as heatsink) on DRAIN pin.","")</f>
        <v/>
      </c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2:34" s="85" customFormat="1" outlineLevel="2" x14ac:dyDescent="0.2">
      <c r="B233" s="91"/>
      <c r="C233" s="42"/>
      <c r="D233" s="43"/>
      <c r="E233" s="43"/>
      <c r="F233" s="43"/>
      <c r="G233" s="44"/>
      <c r="H233" s="92"/>
      <c r="I233" s="28"/>
      <c r="K233" s="28"/>
      <c r="L233" s="28"/>
    </row>
    <row r="234" spans="2:34" s="85" customFormat="1" x14ac:dyDescent="0.2">
      <c r="B234" s="26" t="s">
        <v>863</v>
      </c>
      <c r="D234" s="90"/>
      <c r="E234" s="90"/>
      <c r="F234" s="90"/>
      <c r="G234" s="90"/>
      <c r="H234" s="90"/>
      <c r="I234" s="28"/>
      <c r="K234" s="28"/>
      <c r="L234" s="28"/>
    </row>
    <row r="235" spans="2:34" s="85" customFormat="1" outlineLevel="1" x14ac:dyDescent="0.2">
      <c r="B235" s="26"/>
      <c r="C235" s="210" t="s">
        <v>863</v>
      </c>
      <c r="D235" s="90"/>
      <c r="E235" s="90"/>
      <c r="F235" s="90"/>
      <c r="G235" s="90"/>
      <c r="H235" s="90"/>
      <c r="I235" s="28"/>
      <c r="K235" s="28"/>
      <c r="L235" s="28"/>
    </row>
    <row r="236" spans="2:34" s="85" customFormat="1" ht="15.75" outlineLevel="2" x14ac:dyDescent="0.2">
      <c r="B236" s="91"/>
      <c r="C236" s="151" t="s">
        <v>2</v>
      </c>
      <c r="D236" s="151" t="s">
        <v>864</v>
      </c>
      <c r="E236" s="151"/>
      <c r="F236" s="151" t="s">
        <v>865</v>
      </c>
      <c r="G236" s="152" t="s">
        <v>866</v>
      </c>
      <c r="H236" s="211"/>
      <c r="I236" s="28"/>
      <c r="K236" s="28"/>
      <c r="L236" s="28"/>
    </row>
    <row r="237" spans="2:34" s="85" customFormat="1" ht="15.75" outlineLevel="2" x14ac:dyDescent="0.2">
      <c r="B237" s="91"/>
      <c r="C237" s="151" t="s">
        <v>2</v>
      </c>
      <c r="D237" s="151" t="s">
        <v>880</v>
      </c>
      <c r="E237" s="151"/>
      <c r="F237" s="151" t="s">
        <v>867</v>
      </c>
      <c r="G237" s="152" t="s">
        <v>868</v>
      </c>
      <c r="H237" s="212"/>
      <c r="I237" s="28"/>
      <c r="K237" s="28"/>
      <c r="L237" s="28"/>
    </row>
    <row r="238" spans="2:34" s="85" customFormat="1" ht="15.75" outlineLevel="2" x14ac:dyDescent="0.2">
      <c r="B238" s="91"/>
      <c r="C238" s="151" t="s">
        <v>2</v>
      </c>
      <c r="D238" s="151" t="s">
        <v>869</v>
      </c>
      <c r="E238" s="151"/>
      <c r="F238" s="144" t="s">
        <v>870</v>
      </c>
      <c r="G238" s="152" t="s">
        <v>3</v>
      </c>
      <c r="H238" s="211">
        <v>2.85</v>
      </c>
      <c r="I238" s="28"/>
      <c r="K238" s="28"/>
      <c r="L238" s="28"/>
    </row>
    <row r="239" spans="2:34" s="85" customFormat="1" ht="15.75" outlineLevel="2" x14ac:dyDescent="0.2">
      <c r="B239" s="91"/>
      <c r="C239" s="180" t="s">
        <v>8</v>
      </c>
      <c r="D239" s="181" t="s">
        <v>871</v>
      </c>
      <c r="E239" s="181" t="s">
        <v>872</v>
      </c>
      <c r="F239" s="181" t="s">
        <v>873</v>
      </c>
      <c r="G239" s="182" t="s">
        <v>874</v>
      </c>
      <c r="H239" s="213">
        <f>H237*1000000*H238/((H236*SQRT(2))-H238)/1000</f>
        <v>0</v>
      </c>
      <c r="I239" s="28"/>
      <c r="K239" s="28"/>
      <c r="L239" s="28"/>
    </row>
    <row r="240" spans="2:34" s="85" customFormat="1" ht="15.75" outlineLevel="2" x14ac:dyDescent="0.2">
      <c r="B240" s="91"/>
      <c r="C240" s="151" t="s">
        <v>2</v>
      </c>
      <c r="D240" s="151" t="s">
        <v>881</v>
      </c>
      <c r="E240" s="151"/>
      <c r="F240" s="151" t="s">
        <v>875</v>
      </c>
      <c r="G240" s="152" t="s">
        <v>876</v>
      </c>
      <c r="H240" s="211"/>
      <c r="I240" s="28"/>
      <c r="K240" s="28"/>
      <c r="L240" s="28"/>
    </row>
    <row r="241" spans="2:19" s="85" customFormat="1" ht="15.75" outlineLevel="2" x14ac:dyDescent="0.2">
      <c r="B241" s="91"/>
      <c r="C241" s="180" t="s">
        <v>8</v>
      </c>
      <c r="D241" s="181" t="s">
        <v>877</v>
      </c>
      <c r="E241" s="181" t="s">
        <v>878</v>
      </c>
      <c r="F241" s="181" t="s">
        <v>879</v>
      </c>
      <c r="G241" s="182" t="s">
        <v>866</v>
      </c>
      <c r="H241" s="213" t="e">
        <f>H238/(H240*1000)*((H240*1000)+H237*1000000)/SQRT(2)</f>
        <v>#DIV/0!</v>
      </c>
      <c r="I241" s="28"/>
      <c r="K241" s="28"/>
      <c r="L241" s="28"/>
    </row>
    <row r="242" spans="2:19" s="85" customFormat="1" outlineLevel="2" x14ac:dyDescent="0.2">
      <c r="B242" s="91"/>
      <c r="C242" s="42"/>
      <c r="D242" s="43"/>
      <c r="E242" s="43"/>
      <c r="F242" s="43"/>
      <c r="G242" s="44"/>
      <c r="H242" s="92"/>
      <c r="I242" s="28"/>
      <c r="K242" s="28"/>
      <c r="L242" s="28"/>
    </row>
    <row r="243" spans="2:19" s="85" customFormat="1" x14ac:dyDescent="0.2">
      <c r="B243" s="26" t="s">
        <v>714</v>
      </c>
      <c r="D243" s="90"/>
      <c r="E243" s="90"/>
      <c r="F243" s="90"/>
      <c r="G243" s="90"/>
      <c r="H243" s="90"/>
      <c r="I243" s="28"/>
      <c r="K243" s="28"/>
      <c r="L243" s="28"/>
    </row>
    <row r="244" spans="2:19" s="85" customFormat="1" ht="13.5" outlineLevel="1" thickBot="1" x14ac:dyDescent="0.25">
      <c r="B244" s="26"/>
      <c r="C244" s="93" t="s">
        <v>388</v>
      </c>
      <c r="D244" s="90"/>
      <c r="E244" s="90"/>
      <c r="F244" s="90"/>
      <c r="G244" s="90"/>
      <c r="H244" s="90"/>
      <c r="I244" s="28"/>
      <c r="K244" s="28"/>
      <c r="L244" s="28"/>
    </row>
    <row r="245" spans="2:19" s="85" customFormat="1" ht="288.75" customHeight="1" outlineLevel="2" thickBot="1" x14ac:dyDescent="0.25">
      <c r="B245" s="26"/>
      <c r="C245" s="187"/>
      <c r="D245" s="188"/>
      <c r="E245" s="188"/>
      <c r="F245" s="188"/>
      <c r="G245" s="188"/>
      <c r="H245" s="189"/>
      <c r="I245" s="28"/>
      <c r="K245" s="28"/>
      <c r="L245" s="28"/>
    </row>
    <row r="246" spans="2:19" s="85" customFormat="1" outlineLevel="2" x14ac:dyDescent="0.2">
      <c r="B246" s="26"/>
      <c r="C246" s="94"/>
      <c r="D246" s="94"/>
      <c r="E246" s="94"/>
      <c r="F246" s="94"/>
      <c r="G246" s="94"/>
      <c r="H246" s="94"/>
      <c r="I246" s="28"/>
      <c r="K246" s="28"/>
      <c r="L246" s="28"/>
    </row>
    <row r="247" spans="2:19" s="20" customFormat="1" outlineLevel="1" x14ac:dyDescent="0.2">
      <c r="B247" s="26"/>
      <c r="C247" s="26" t="s">
        <v>383</v>
      </c>
      <c r="D247" s="28"/>
      <c r="E247" s="28"/>
      <c r="F247" s="28"/>
      <c r="G247" s="30"/>
      <c r="H247" s="18"/>
      <c r="I247" s="95"/>
      <c r="J247" s="28"/>
      <c r="K247" s="30"/>
      <c r="L247" s="30"/>
      <c r="M247" s="28"/>
      <c r="N247" s="28"/>
      <c r="O247" s="28"/>
      <c r="P247" s="28"/>
      <c r="Q247" s="28"/>
      <c r="R247" s="28"/>
      <c r="S247" s="28"/>
    </row>
    <row r="248" spans="2:19" s="19" customFormat="1" ht="15.75" outlineLevel="2" x14ac:dyDescent="0.2">
      <c r="B248" s="26"/>
      <c r="C248" s="143" t="s">
        <v>2</v>
      </c>
      <c r="D248" s="143" t="s">
        <v>208</v>
      </c>
      <c r="E248" s="143"/>
      <c r="F248" s="143" t="s">
        <v>209</v>
      </c>
      <c r="G248" s="145" t="s">
        <v>3</v>
      </c>
      <c r="H248" s="146">
        <v>2.5</v>
      </c>
      <c r="K248" s="20"/>
      <c r="L248" s="20"/>
    </row>
    <row r="249" spans="2:19" s="19" customFormat="1" ht="15.75" outlineLevel="2" x14ac:dyDescent="0.2">
      <c r="B249" s="26"/>
      <c r="C249" s="143" t="s">
        <v>2</v>
      </c>
      <c r="D249" s="143" t="s">
        <v>523</v>
      </c>
      <c r="E249" s="143"/>
      <c r="F249" s="143" t="s">
        <v>207</v>
      </c>
      <c r="G249" s="145" t="s">
        <v>74</v>
      </c>
      <c r="H249" s="146">
        <v>0.25</v>
      </c>
      <c r="K249" s="20"/>
      <c r="L249" s="20"/>
    </row>
    <row r="250" spans="2:19" s="19" customFormat="1" ht="15.75" outlineLevel="2" x14ac:dyDescent="0.2">
      <c r="B250" s="26"/>
      <c r="C250" s="167" t="s">
        <v>8</v>
      </c>
      <c r="D250" s="168" t="s">
        <v>515</v>
      </c>
      <c r="E250" s="168"/>
      <c r="F250" s="168" t="s">
        <v>517</v>
      </c>
      <c r="G250" s="165" t="s">
        <v>557</v>
      </c>
      <c r="H250" s="165">
        <f>(H248/(H249*10^-3))/10^3</f>
        <v>10</v>
      </c>
      <c r="K250" s="20"/>
      <c r="L250" s="20"/>
    </row>
    <row r="251" spans="2:19" s="19" customFormat="1" outlineLevel="2" x14ac:dyDescent="0.2">
      <c r="B251" s="26"/>
      <c r="C251" s="143" t="s">
        <v>2</v>
      </c>
      <c r="D251" s="143" t="s">
        <v>516</v>
      </c>
      <c r="E251" s="143"/>
      <c r="F251" s="143" t="s">
        <v>105</v>
      </c>
      <c r="G251" s="145" t="s">
        <v>557</v>
      </c>
      <c r="H251" s="146">
        <v>10</v>
      </c>
      <c r="K251" s="20"/>
      <c r="L251" s="20"/>
    </row>
    <row r="252" spans="2:19" s="19" customFormat="1" ht="15.75" outlineLevel="2" x14ac:dyDescent="0.2">
      <c r="B252" s="26"/>
      <c r="C252" s="167" t="s">
        <v>8</v>
      </c>
      <c r="D252" s="168" t="s">
        <v>515</v>
      </c>
      <c r="E252" s="168"/>
      <c r="F252" s="168" t="s">
        <v>518</v>
      </c>
      <c r="G252" s="165" t="s">
        <v>557</v>
      </c>
      <c r="H252" s="169">
        <f>((H24-H248)/(H249))</f>
        <v>50</v>
      </c>
      <c r="I252" s="73"/>
      <c r="K252" s="46"/>
      <c r="L252" s="46"/>
    </row>
    <row r="253" spans="2:19" s="19" customFormat="1" outlineLevel="2" x14ac:dyDescent="0.2">
      <c r="B253" s="26"/>
      <c r="C253" s="143" t="s">
        <v>2</v>
      </c>
      <c r="D253" s="143" t="s">
        <v>516</v>
      </c>
      <c r="E253" s="143"/>
      <c r="F253" s="143" t="s">
        <v>106</v>
      </c>
      <c r="G253" s="145" t="s">
        <v>557</v>
      </c>
      <c r="H253" s="158">
        <v>50</v>
      </c>
      <c r="I253" s="73"/>
      <c r="K253" s="46"/>
      <c r="L253" s="46"/>
    </row>
    <row r="254" spans="2:19" s="20" customFormat="1" outlineLevel="2" x14ac:dyDescent="0.2">
      <c r="B254" s="26"/>
      <c r="C254" s="28"/>
      <c r="D254" s="28"/>
      <c r="E254" s="28"/>
      <c r="F254" s="28"/>
      <c r="G254" s="30"/>
      <c r="H254" s="30"/>
    </row>
    <row r="255" spans="2:19" s="20" customFormat="1" outlineLevel="1" x14ac:dyDescent="0.2">
      <c r="B255" s="26"/>
      <c r="C255" s="26" t="s">
        <v>525</v>
      </c>
      <c r="D255" s="28"/>
      <c r="E255" s="28"/>
      <c r="F255" s="28"/>
      <c r="G255" s="30"/>
      <c r="H255" s="18"/>
      <c r="I255" s="95"/>
      <c r="J255" s="28"/>
      <c r="K255" s="30"/>
      <c r="L255" s="30"/>
      <c r="M255" s="28"/>
      <c r="N255" s="28"/>
      <c r="O255" s="28"/>
      <c r="P255" s="28"/>
      <c r="Q255" s="28"/>
      <c r="R255" s="28"/>
      <c r="S255" s="28"/>
    </row>
    <row r="256" spans="2:19" s="19" customFormat="1" ht="15.75" outlineLevel="2" x14ac:dyDescent="0.2">
      <c r="B256" s="26"/>
      <c r="C256" s="143" t="s">
        <v>2</v>
      </c>
      <c r="D256" s="143" t="s">
        <v>384</v>
      </c>
      <c r="E256" s="143"/>
      <c r="F256" s="143" t="s">
        <v>381</v>
      </c>
      <c r="G256" s="145" t="s">
        <v>68</v>
      </c>
      <c r="H256" s="159">
        <v>2</v>
      </c>
      <c r="K256" s="20"/>
      <c r="L256" s="20"/>
    </row>
    <row r="257" spans="2:19" s="19" customFormat="1" ht="15.75" outlineLevel="2" x14ac:dyDescent="0.2">
      <c r="B257" s="26"/>
      <c r="C257" s="143" t="s">
        <v>2</v>
      </c>
      <c r="D257" s="143" t="s">
        <v>385</v>
      </c>
      <c r="E257" s="143"/>
      <c r="F257" s="143" t="s">
        <v>382</v>
      </c>
      <c r="G257" s="145" t="s">
        <v>3</v>
      </c>
      <c r="H257" s="146">
        <v>1.25</v>
      </c>
      <c r="K257" s="20"/>
      <c r="L257" s="20"/>
    </row>
    <row r="258" spans="2:19" s="19" customFormat="1" ht="15.75" outlineLevel="2" x14ac:dyDescent="0.2">
      <c r="B258" s="26"/>
      <c r="C258" s="143" t="s">
        <v>2</v>
      </c>
      <c r="D258" s="143" t="s">
        <v>386</v>
      </c>
      <c r="E258" s="143"/>
      <c r="F258" s="143" t="s">
        <v>189</v>
      </c>
      <c r="G258" s="145" t="s">
        <v>74</v>
      </c>
      <c r="H258" s="146">
        <v>50</v>
      </c>
      <c r="K258" s="20"/>
      <c r="L258" s="20"/>
    </row>
    <row r="259" spans="2:19" s="19" customFormat="1" ht="15.75" outlineLevel="2" x14ac:dyDescent="0.2">
      <c r="B259" s="26"/>
      <c r="C259" s="143" t="s">
        <v>2</v>
      </c>
      <c r="D259" s="143" t="s">
        <v>524</v>
      </c>
      <c r="E259" s="143"/>
      <c r="F259" s="143" t="s">
        <v>188</v>
      </c>
      <c r="G259" s="145" t="s">
        <v>74</v>
      </c>
      <c r="H259" s="146">
        <v>1</v>
      </c>
      <c r="K259" s="20"/>
      <c r="L259" s="20"/>
    </row>
    <row r="260" spans="2:19" s="19" customFormat="1" ht="15.75" outlineLevel="2" x14ac:dyDescent="0.2">
      <c r="B260" s="26"/>
      <c r="C260" s="167" t="s">
        <v>8</v>
      </c>
      <c r="D260" s="168" t="s">
        <v>526</v>
      </c>
      <c r="E260" s="168"/>
      <c r="F260" s="168" t="s">
        <v>389</v>
      </c>
      <c r="G260" s="165" t="s">
        <v>557</v>
      </c>
      <c r="H260" s="174">
        <f>(H24-H248-H257)/H258</f>
        <v>0.22500000000000001</v>
      </c>
      <c r="I260" s="73"/>
      <c r="K260" s="46"/>
      <c r="L260" s="46"/>
    </row>
    <row r="261" spans="2:19" s="20" customFormat="1" outlineLevel="2" x14ac:dyDescent="0.2">
      <c r="B261" s="26"/>
      <c r="C261" s="143" t="s">
        <v>2</v>
      </c>
      <c r="D261" s="143" t="s">
        <v>527</v>
      </c>
      <c r="E261" s="143"/>
      <c r="F261" s="143" t="s">
        <v>107</v>
      </c>
      <c r="G261" s="145" t="s">
        <v>557</v>
      </c>
      <c r="H261" s="146">
        <v>0.82</v>
      </c>
      <c r="I261" s="19"/>
      <c r="J261" s="19"/>
      <c r="M261" s="19"/>
      <c r="N261" s="19"/>
      <c r="O261" s="19"/>
      <c r="P261" s="19"/>
      <c r="Q261" s="19"/>
      <c r="R261" s="19"/>
      <c r="S261" s="19"/>
    </row>
    <row r="262" spans="2:19" s="20" customFormat="1" ht="19.5" outlineLevel="2" x14ac:dyDescent="0.2">
      <c r="B262" s="26"/>
      <c r="C262" s="143" t="s">
        <v>2</v>
      </c>
      <c r="D262" s="143" t="s">
        <v>528</v>
      </c>
      <c r="E262" s="143"/>
      <c r="F262" s="143" t="s">
        <v>190</v>
      </c>
      <c r="G262" s="145" t="s">
        <v>3</v>
      </c>
      <c r="H262" s="146">
        <v>3.3</v>
      </c>
      <c r="I262" s="19"/>
      <c r="K262" s="46"/>
      <c r="L262" s="46"/>
    </row>
    <row r="263" spans="2:19" s="20" customFormat="1" ht="19.5" outlineLevel="2" x14ac:dyDescent="0.2">
      <c r="B263" s="26"/>
      <c r="C263" s="143" t="s">
        <v>2</v>
      </c>
      <c r="D263" s="143" t="s">
        <v>530</v>
      </c>
      <c r="E263" s="143"/>
      <c r="F263" s="143" t="s">
        <v>529</v>
      </c>
      <c r="G263" s="145" t="s">
        <v>3</v>
      </c>
      <c r="H263" s="146">
        <v>2.75</v>
      </c>
      <c r="I263" s="19"/>
      <c r="K263" s="46"/>
      <c r="L263" s="46"/>
    </row>
    <row r="264" spans="2:19" s="19" customFormat="1" ht="19.5" outlineLevel="2" x14ac:dyDescent="0.2">
      <c r="B264" s="26"/>
      <c r="C264" s="143" t="s">
        <v>2</v>
      </c>
      <c r="D264" s="143" t="s">
        <v>468</v>
      </c>
      <c r="E264" s="143"/>
      <c r="F264" s="143" t="s">
        <v>191</v>
      </c>
      <c r="G264" s="145" t="s">
        <v>557</v>
      </c>
      <c r="H264" s="146">
        <v>15</v>
      </c>
      <c r="J264" s="20"/>
      <c r="K264" s="46"/>
      <c r="L264" s="46"/>
      <c r="M264" s="20"/>
      <c r="N264" s="20"/>
      <c r="O264" s="20"/>
      <c r="P264" s="20"/>
      <c r="Q264" s="20"/>
      <c r="R264" s="20"/>
      <c r="S264" s="20"/>
    </row>
    <row r="265" spans="2:19" s="19" customFormat="1" ht="15.75" outlineLevel="2" x14ac:dyDescent="0.2">
      <c r="B265" s="26"/>
      <c r="C265" s="167" t="s">
        <v>8</v>
      </c>
      <c r="D265" s="168" t="s">
        <v>531</v>
      </c>
      <c r="E265" s="168"/>
      <c r="F265" s="168" t="s">
        <v>390</v>
      </c>
      <c r="G265" s="165" t="s">
        <v>557</v>
      </c>
      <c r="H265" s="169">
        <f>(H257+(H261*((H262-H263)/H264)/H256))/H259</f>
        <v>1.2650333333333332</v>
      </c>
      <c r="I265" s="73"/>
      <c r="K265" s="46"/>
      <c r="L265" s="46"/>
    </row>
    <row r="266" spans="2:19" s="20" customFormat="1" outlineLevel="2" x14ac:dyDescent="0.2">
      <c r="B266" s="26"/>
      <c r="C266" s="143" t="s">
        <v>2</v>
      </c>
      <c r="D266" s="143" t="s">
        <v>532</v>
      </c>
      <c r="E266" s="143"/>
      <c r="F266" s="143" t="s">
        <v>108</v>
      </c>
      <c r="G266" s="145" t="s">
        <v>557</v>
      </c>
      <c r="H266" s="146">
        <v>1.2</v>
      </c>
      <c r="I266" s="19"/>
      <c r="J266" s="19"/>
      <c r="M266" s="19"/>
      <c r="N266" s="19"/>
      <c r="O266" s="19"/>
      <c r="P266" s="19"/>
      <c r="Q266" s="19"/>
      <c r="R266" s="19"/>
      <c r="S266" s="19"/>
    </row>
    <row r="267" spans="2:19" s="20" customFormat="1" outlineLevel="2" x14ac:dyDescent="0.2">
      <c r="B267" s="26"/>
      <c r="C267" s="28"/>
      <c r="D267" s="28"/>
      <c r="E267" s="28"/>
      <c r="F267" s="28"/>
      <c r="G267" s="30"/>
      <c r="H267" s="30"/>
    </row>
    <row r="268" spans="2:19" s="20" customFormat="1" outlineLevel="1" x14ac:dyDescent="0.2">
      <c r="B268" s="26"/>
      <c r="C268" s="26" t="s">
        <v>387</v>
      </c>
      <c r="D268" s="28"/>
      <c r="E268" s="28"/>
      <c r="F268" s="28"/>
      <c r="G268" s="30"/>
      <c r="H268" s="18"/>
      <c r="I268" s="95"/>
      <c r="J268" s="28"/>
      <c r="K268" s="30"/>
      <c r="L268" s="30"/>
      <c r="M268" s="28"/>
      <c r="N268" s="28"/>
      <c r="O268" s="28"/>
      <c r="P268" s="28"/>
      <c r="Q268" s="28"/>
      <c r="R268" s="28"/>
      <c r="S268" s="28"/>
    </row>
    <row r="269" spans="2:19" s="19" customFormat="1" ht="15.75" outlineLevel="2" x14ac:dyDescent="0.2">
      <c r="B269" s="26"/>
      <c r="C269" s="167" t="s">
        <v>8</v>
      </c>
      <c r="D269" s="170" t="s">
        <v>534</v>
      </c>
      <c r="E269" s="170"/>
      <c r="F269" s="168" t="s">
        <v>121</v>
      </c>
      <c r="G269" s="165"/>
      <c r="H269" s="169">
        <f>H256*H264/(H261)</f>
        <v>36.585365853658537</v>
      </c>
      <c r="I269" s="73"/>
      <c r="K269" s="46"/>
      <c r="L269" s="46"/>
    </row>
    <row r="270" spans="2:19" s="20" customFormat="1" ht="15.75" outlineLevel="2" x14ac:dyDescent="0.2">
      <c r="B270" s="26"/>
      <c r="C270" s="167" t="s">
        <v>8</v>
      </c>
      <c r="D270" s="170" t="s">
        <v>535</v>
      </c>
      <c r="E270" s="170"/>
      <c r="F270" s="168" t="s">
        <v>122</v>
      </c>
      <c r="G270" s="165" t="s">
        <v>78</v>
      </c>
      <c r="H270" s="169">
        <f>LOG10(H269)*20</f>
        <v>31.266148046718914</v>
      </c>
      <c r="I270" s="73"/>
      <c r="J270" s="19"/>
      <c r="K270" s="46"/>
      <c r="L270" s="46"/>
      <c r="M270" s="19"/>
      <c r="N270" s="19"/>
      <c r="O270" s="19"/>
      <c r="P270" s="19"/>
      <c r="Q270" s="19"/>
      <c r="R270" s="19"/>
      <c r="S270" s="19"/>
    </row>
    <row r="271" spans="2:19" s="19" customFormat="1" ht="15.75" outlineLevel="2" x14ac:dyDescent="0.2">
      <c r="B271" s="26"/>
      <c r="C271" s="167" t="s">
        <v>8</v>
      </c>
      <c r="D271" s="168" t="s">
        <v>536</v>
      </c>
      <c r="E271" s="170"/>
      <c r="F271" s="168" t="s">
        <v>123</v>
      </c>
      <c r="G271" s="165"/>
      <c r="H271" s="173">
        <f>H248/H24</f>
        <v>0.16666666666666666</v>
      </c>
      <c r="I271" s="73"/>
      <c r="K271" s="46"/>
      <c r="L271" s="46"/>
    </row>
    <row r="272" spans="2:19" s="20" customFormat="1" ht="15.75" outlineLevel="2" x14ac:dyDescent="0.2">
      <c r="B272" s="26"/>
      <c r="C272" s="167" t="s">
        <v>8</v>
      </c>
      <c r="D272" s="168" t="s">
        <v>537</v>
      </c>
      <c r="E272" s="170"/>
      <c r="F272" s="168" t="s">
        <v>124</v>
      </c>
      <c r="G272" s="165" t="s">
        <v>78</v>
      </c>
      <c r="H272" s="169">
        <f>LOG10(H271)*20</f>
        <v>-15.563025007672874</v>
      </c>
      <c r="I272" s="73"/>
      <c r="J272" s="19"/>
      <c r="K272" s="46"/>
      <c r="L272" s="46"/>
      <c r="M272" s="19"/>
      <c r="N272" s="19"/>
      <c r="O272" s="19"/>
      <c r="P272" s="19"/>
      <c r="Q272" s="19"/>
      <c r="R272" s="19"/>
      <c r="S272" s="19"/>
    </row>
    <row r="273" spans="2:19" s="19" customFormat="1" ht="15.75" outlineLevel="2" x14ac:dyDescent="0.2">
      <c r="B273" s="26"/>
      <c r="C273" s="167" t="s">
        <v>8</v>
      </c>
      <c r="D273" s="168" t="s">
        <v>538</v>
      </c>
      <c r="E273" s="170"/>
      <c r="F273" s="168" t="s">
        <v>161</v>
      </c>
      <c r="G273" s="165" t="s">
        <v>558</v>
      </c>
      <c r="H273" s="169">
        <f>H24^2/H37</f>
        <v>13.235294117647058</v>
      </c>
      <c r="I273" s="73"/>
      <c r="K273" s="46"/>
      <c r="L273" s="46"/>
    </row>
    <row r="274" spans="2:19" s="20" customFormat="1" ht="15.75" outlineLevel="2" x14ac:dyDescent="0.2">
      <c r="B274" s="26"/>
      <c r="C274" s="167" t="s">
        <v>8</v>
      </c>
      <c r="D274" s="168" t="s">
        <v>539</v>
      </c>
      <c r="E274" s="170"/>
      <c r="F274" s="168" t="s">
        <v>162</v>
      </c>
      <c r="G274" s="165" t="s">
        <v>558</v>
      </c>
      <c r="H274" s="169">
        <f>H24^2/H39</f>
        <v>112.5</v>
      </c>
      <c r="I274" s="73"/>
      <c r="J274" s="19"/>
      <c r="K274" s="46"/>
      <c r="L274" s="46"/>
      <c r="M274" s="19"/>
      <c r="N274" s="19"/>
      <c r="O274" s="19"/>
      <c r="P274" s="19"/>
      <c r="Q274" s="19"/>
      <c r="R274" s="19"/>
      <c r="S274" s="19"/>
    </row>
    <row r="275" spans="2:19" s="19" customFormat="1" ht="15.75" outlineLevel="2" x14ac:dyDescent="0.2">
      <c r="B275" s="26"/>
      <c r="C275" s="167" t="s">
        <v>8</v>
      </c>
      <c r="D275" s="168" t="s">
        <v>540</v>
      </c>
      <c r="E275" s="170"/>
      <c r="F275" s="168" t="s">
        <v>163</v>
      </c>
      <c r="G275" s="165" t="s">
        <v>7</v>
      </c>
      <c r="H275" s="169">
        <f>1/(PI()*(H273*H163*H165))*1000000</f>
        <v>35.367765131532302</v>
      </c>
      <c r="I275" s="73"/>
      <c r="K275" s="46"/>
      <c r="L275" s="46"/>
    </row>
    <row r="276" spans="2:19" s="19" customFormat="1" ht="15.75" outlineLevel="2" x14ac:dyDescent="0.2">
      <c r="B276" s="26"/>
      <c r="C276" s="167" t="s">
        <v>8</v>
      </c>
      <c r="D276" s="168" t="s">
        <v>541</v>
      </c>
      <c r="E276" s="170"/>
      <c r="F276" s="168" t="s">
        <v>164</v>
      </c>
      <c r="G276" s="165" t="s">
        <v>7</v>
      </c>
      <c r="H276" s="169">
        <f>1/(PI()*(H274*H163*H165))*1000000</f>
        <v>4.1609135448861529</v>
      </c>
      <c r="I276" s="73"/>
      <c r="K276" s="46"/>
      <c r="L276" s="46"/>
    </row>
    <row r="277" spans="2:19" s="20" customFormat="1" ht="15.75" outlineLevel="2" x14ac:dyDescent="0.2">
      <c r="B277" s="26"/>
      <c r="C277" s="167" t="s">
        <v>8</v>
      </c>
      <c r="D277" s="168" t="s">
        <v>542</v>
      </c>
      <c r="E277" s="170"/>
      <c r="F277" s="168" t="s">
        <v>165</v>
      </c>
      <c r="G277" s="165" t="s">
        <v>7</v>
      </c>
      <c r="H277" s="169">
        <f>H275*POWER(10,0.5*LOG10(H276/H275))</f>
        <v>12.131043359420692</v>
      </c>
      <c r="I277" s="73"/>
      <c r="J277" s="19"/>
      <c r="K277" s="46"/>
      <c r="L277" s="46"/>
      <c r="M277" s="19"/>
      <c r="N277" s="19"/>
      <c r="O277" s="19"/>
      <c r="P277" s="19"/>
      <c r="Q277" s="19"/>
      <c r="R277" s="19"/>
      <c r="S277" s="19"/>
    </row>
    <row r="278" spans="2:19" s="19" customFormat="1" outlineLevel="2" x14ac:dyDescent="0.2">
      <c r="B278" s="26"/>
      <c r="C278" s="143" t="s">
        <v>2</v>
      </c>
      <c r="D278" s="143" t="s">
        <v>543</v>
      </c>
      <c r="E278" s="143"/>
      <c r="F278" s="143" t="s">
        <v>76</v>
      </c>
      <c r="G278" s="145" t="s">
        <v>77</v>
      </c>
      <c r="H278" s="146">
        <v>3</v>
      </c>
      <c r="K278" s="20"/>
      <c r="L278" s="20"/>
    </row>
    <row r="279" spans="2:19" s="19" customFormat="1" ht="15.75" outlineLevel="2" x14ac:dyDescent="0.2">
      <c r="B279" s="26"/>
      <c r="C279" s="143" t="s">
        <v>2</v>
      </c>
      <c r="D279" s="143" t="s">
        <v>101</v>
      </c>
      <c r="E279" s="143"/>
      <c r="F279" s="143" t="s">
        <v>469</v>
      </c>
      <c r="G279" s="145"/>
      <c r="H279" s="146">
        <v>2.0299999999999998</v>
      </c>
      <c r="K279" s="20"/>
      <c r="L279" s="20"/>
    </row>
    <row r="280" spans="2:19" s="20" customFormat="1" ht="15.75" outlineLevel="2" x14ac:dyDescent="0.2">
      <c r="B280" s="26"/>
      <c r="C280" s="167" t="s">
        <v>8</v>
      </c>
      <c r="D280" s="170" t="s">
        <v>533</v>
      </c>
      <c r="E280" s="168"/>
      <c r="F280" s="168" t="s">
        <v>115</v>
      </c>
      <c r="G280" s="165" t="s">
        <v>75</v>
      </c>
      <c r="H280" s="172">
        <f>H279*H153/H152</f>
        <v>2.3669634460699189</v>
      </c>
      <c r="I280" s="19"/>
      <c r="J280" s="19"/>
      <c r="M280" s="19"/>
      <c r="N280" s="19"/>
      <c r="O280" s="19"/>
      <c r="P280" s="19"/>
      <c r="Q280" s="19"/>
      <c r="R280" s="19"/>
      <c r="S280" s="19"/>
    </row>
    <row r="281" spans="2:19" s="19" customFormat="1" ht="15.75" outlineLevel="2" x14ac:dyDescent="0.2">
      <c r="B281" s="26"/>
      <c r="C281" s="167" t="s">
        <v>8</v>
      </c>
      <c r="D281" s="170" t="s">
        <v>544</v>
      </c>
      <c r="E281" s="168"/>
      <c r="F281" s="168" t="s">
        <v>125</v>
      </c>
      <c r="G281" s="165"/>
      <c r="H281" s="171">
        <f>(1/H280)*(SQRT(H273*H71*H43*H35/2))/(SQRT(1+(H278*1000/H275)^2))</f>
        <v>8.7106668882146784E-2</v>
      </c>
      <c r="I281" s="73"/>
      <c r="K281" s="46"/>
      <c r="L281" s="46"/>
    </row>
    <row r="282" spans="2:19" s="20" customFormat="1" ht="15.75" outlineLevel="2" x14ac:dyDescent="0.2">
      <c r="B282" s="26"/>
      <c r="C282" s="167" t="s">
        <v>8</v>
      </c>
      <c r="D282" s="170" t="s">
        <v>545</v>
      </c>
      <c r="E282" s="168"/>
      <c r="F282" s="168" t="s">
        <v>126</v>
      </c>
      <c r="G282" s="165" t="s">
        <v>78</v>
      </c>
      <c r="H282" s="169">
        <f>LOG10(H281)*20</f>
        <v>-21.198971883119921</v>
      </c>
      <c r="I282" s="73"/>
      <c r="J282" s="19"/>
      <c r="K282" s="46"/>
      <c r="L282" s="46"/>
      <c r="M282" s="19"/>
      <c r="N282" s="19"/>
      <c r="O282" s="19"/>
      <c r="P282" s="19"/>
      <c r="Q282" s="19"/>
      <c r="R282" s="19"/>
      <c r="S282" s="19"/>
    </row>
    <row r="283" spans="2:19" s="20" customFormat="1" outlineLevel="2" x14ac:dyDescent="0.2">
      <c r="B283" s="26"/>
      <c r="C283" s="167" t="s">
        <v>8</v>
      </c>
      <c r="D283" s="170" t="s">
        <v>546</v>
      </c>
      <c r="E283" s="168"/>
      <c r="F283" s="168" t="s">
        <v>547</v>
      </c>
      <c r="G283" s="165" t="s">
        <v>78</v>
      </c>
      <c r="H283" s="171">
        <f>(H270+H272+H282)</f>
        <v>-5.4958488440738797</v>
      </c>
      <c r="I283" s="73"/>
      <c r="J283" s="19"/>
      <c r="K283" s="46"/>
      <c r="L283" s="46"/>
      <c r="M283" s="19"/>
      <c r="N283" s="19"/>
      <c r="O283" s="19"/>
      <c r="P283" s="19"/>
      <c r="Q283" s="19"/>
      <c r="R283" s="19"/>
      <c r="S283" s="19"/>
    </row>
    <row r="284" spans="2:19" s="20" customFormat="1" outlineLevel="2" x14ac:dyDescent="0.2">
      <c r="B284" s="26"/>
      <c r="C284" s="167" t="s">
        <v>8</v>
      </c>
      <c r="D284" s="170" t="s">
        <v>549</v>
      </c>
      <c r="E284" s="168"/>
      <c r="F284" s="168" t="s">
        <v>548</v>
      </c>
      <c r="G284" s="165" t="s">
        <v>78</v>
      </c>
      <c r="H284" s="171">
        <f>0-(H270+H272+H282)</f>
        <v>5.4958488440738797</v>
      </c>
      <c r="I284" s="73"/>
      <c r="J284" s="19"/>
      <c r="K284" s="46"/>
      <c r="L284" s="46"/>
      <c r="M284" s="19"/>
      <c r="N284" s="19"/>
      <c r="O284" s="19"/>
      <c r="P284" s="19"/>
      <c r="Q284" s="19"/>
      <c r="R284" s="19"/>
      <c r="S284" s="19"/>
    </row>
    <row r="285" spans="2:19" s="19" customFormat="1" ht="15.75" outlineLevel="2" x14ac:dyDescent="0.2">
      <c r="B285" s="26"/>
      <c r="C285" s="167" t="s">
        <v>8</v>
      </c>
      <c r="D285" s="170" t="s">
        <v>550</v>
      </c>
      <c r="E285" s="168"/>
      <c r="F285" s="168" t="s">
        <v>393</v>
      </c>
      <c r="G285" s="165" t="s">
        <v>557</v>
      </c>
      <c r="H285" s="169">
        <f>POWER(10,H284/20)*(H253*H251/(H251+H253))</f>
        <v>15.689575599725133</v>
      </c>
      <c r="I285" s="73"/>
      <c r="K285" s="46"/>
      <c r="L285" s="46"/>
    </row>
    <row r="286" spans="2:19" s="20" customFormat="1" outlineLevel="2" x14ac:dyDescent="0.2">
      <c r="B286" s="26"/>
      <c r="C286" s="143" t="s">
        <v>2</v>
      </c>
      <c r="D286" s="143" t="s">
        <v>551</v>
      </c>
      <c r="E286" s="143"/>
      <c r="F286" s="143" t="s">
        <v>109</v>
      </c>
      <c r="G286" s="145" t="s">
        <v>557</v>
      </c>
      <c r="H286" s="146">
        <v>16</v>
      </c>
      <c r="I286" s="19"/>
      <c r="J286" s="19"/>
      <c r="M286" s="19"/>
      <c r="N286" s="19"/>
      <c r="O286" s="19"/>
      <c r="P286" s="19"/>
      <c r="Q286" s="19"/>
      <c r="R286" s="19"/>
      <c r="S286" s="19"/>
    </row>
    <row r="287" spans="2:19" s="19" customFormat="1" ht="15.75" outlineLevel="2" x14ac:dyDescent="0.2">
      <c r="B287" s="26"/>
      <c r="C287" s="167" t="s">
        <v>8</v>
      </c>
      <c r="D287" s="170" t="s">
        <v>553</v>
      </c>
      <c r="E287" s="168"/>
      <c r="F287" s="168" t="s">
        <v>392</v>
      </c>
      <c r="G287" s="165" t="s">
        <v>39</v>
      </c>
      <c r="H287" s="171">
        <f>(1/(2*PI()*H286*10^3*H278*10^3))*10^9</f>
        <v>3.3157279810811531</v>
      </c>
      <c r="I287" s="73"/>
      <c r="K287" s="46"/>
      <c r="L287" s="46"/>
    </row>
    <row r="288" spans="2:19" s="20" customFormat="1" outlineLevel="2" x14ac:dyDescent="0.2">
      <c r="B288" s="26"/>
      <c r="C288" s="143" t="s">
        <v>2</v>
      </c>
      <c r="D288" s="143" t="s">
        <v>552</v>
      </c>
      <c r="E288" s="143"/>
      <c r="F288" s="143" t="s">
        <v>110</v>
      </c>
      <c r="G288" s="145" t="s">
        <v>39</v>
      </c>
      <c r="H288" s="146">
        <v>3.3</v>
      </c>
      <c r="I288" s="19"/>
      <c r="J288" s="19"/>
      <c r="M288" s="19"/>
      <c r="N288" s="19"/>
      <c r="O288" s="19"/>
      <c r="P288" s="19"/>
      <c r="Q288" s="19"/>
      <c r="R288" s="19"/>
      <c r="S288" s="19"/>
    </row>
    <row r="289" spans="2:19" s="19" customFormat="1" ht="15.75" outlineLevel="2" x14ac:dyDescent="0.2">
      <c r="B289" s="26"/>
      <c r="C289" s="167" t="s">
        <v>8</v>
      </c>
      <c r="D289" s="170" t="s">
        <v>553</v>
      </c>
      <c r="E289" s="168"/>
      <c r="F289" s="168" t="s">
        <v>391</v>
      </c>
      <c r="G289" s="165" t="s">
        <v>39</v>
      </c>
      <c r="H289" s="169">
        <f>((1/(2*PI()*H286*1000*H277))-H288*10^(-9))*10^9</f>
        <v>816.67761021262061</v>
      </c>
      <c r="I289" s="73"/>
      <c r="K289" s="46"/>
      <c r="L289" s="46"/>
    </row>
    <row r="290" spans="2:19" s="85" customFormat="1" outlineLevel="2" x14ac:dyDescent="0.2">
      <c r="B290" s="26"/>
      <c r="C290" s="143" t="s">
        <v>2</v>
      </c>
      <c r="D290" s="143" t="s">
        <v>552</v>
      </c>
      <c r="E290" s="143"/>
      <c r="F290" s="143" t="s">
        <v>111</v>
      </c>
      <c r="G290" s="145" t="s">
        <v>39</v>
      </c>
      <c r="H290" s="146">
        <v>820</v>
      </c>
      <c r="I290" s="19"/>
      <c r="J290" s="19"/>
      <c r="K290" s="20"/>
      <c r="L290" s="20"/>
      <c r="M290" s="19"/>
      <c r="N290" s="19"/>
      <c r="O290" s="19"/>
      <c r="P290" s="19"/>
      <c r="Q290" s="19"/>
      <c r="R290" s="19"/>
      <c r="S290" s="19"/>
    </row>
    <row r="291" spans="2:19" s="85" customFormat="1" outlineLevel="2" x14ac:dyDescent="0.2">
      <c r="B291" s="26"/>
      <c r="C291" s="28"/>
      <c r="D291" s="28"/>
      <c r="E291" s="28"/>
      <c r="F291" s="28"/>
      <c r="G291" s="30"/>
      <c r="H291" s="3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2:19" s="85" customFormat="1" x14ac:dyDescent="0.2">
      <c r="B292" s="26" t="s">
        <v>394</v>
      </c>
      <c r="D292" s="90"/>
      <c r="E292" s="90"/>
      <c r="F292" s="90"/>
      <c r="G292" s="90"/>
      <c r="H292" s="90"/>
      <c r="I292" s="28"/>
      <c r="K292" s="28"/>
      <c r="L292" s="28"/>
    </row>
    <row r="293" spans="2:19" s="85" customFormat="1" ht="13.5" outlineLevel="1" thickBot="1" x14ac:dyDescent="0.25">
      <c r="B293" s="20"/>
      <c r="C293" s="93" t="s">
        <v>395</v>
      </c>
      <c r="D293" s="90"/>
      <c r="E293" s="90"/>
      <c r="F293" s="90"/>
      <c r="G293" s="90"/>
      <c r="H293" s="90"/>
      <c r="I293" s="28"/>
      <c r="K293" s="28"/>
      <c r="L293" s="28"/>
    </row>
    <row r="294" spans="2:19" s="85" customFormat="1" ht="288.75" customHeight="1" outlineLevel="2" thickBot="1" x14ac:dyDescent="0.25">
      <c r="B294" s="20"/>
      <c r="C294" s="187"/>
      <c r="D294" s="188"/>
      <c r="E294" s="188"/>
      <c r="F294" s="188"/>
      <c r="G294" s="188"/>
      <c r="H294" s="189"/>
      <c r="I294" s="28"/>
      <c r="K294" s="28"/>
      <c r="L294" s="28"/>
    </row>
    <row r="295" spans="2:19" s="85" customFormat="1" outlineLevel="2" x14ac:dyDescent="0.2">
      <c r="B295" s="20"/>
      <c r="C295" s="94"/>
      <c r="D295" s="94"/>
      <c r="E295" s="94"/>
      <c r="F295" s="94"/>
      <c r="G295" s="94"/>
      <c r="H295" s="94"/>
      <c r="I295" s="28"/>
      <c r="K295" s="28"/>
      <c r="L295" s="28"/>
    </row>
    <row r="296" spans="2:19" s="20" customFormat="1" outlineLevel="1" x14ac:dyDescent="0.2">
      <c r="C296" s="26" t="s">
        <v>383</v>
      </c>
      <c r="D296" s="28"/>
      <c r="E296" s="28"/>
      <c r="F296" s="28"/>
      <c r="G296" s="30"/>
      <c r="H296" s="18"/>
      <c r="I296" s="95"/>
      <c r="J296" s="28"/>
      <c r="K296" s="30"/>
      <c r="L296" s="30"/>
      <c r="M296" s="28"/>
      <c r="N296" s="28"/>
      <c r="O296" s="28"/>
      <c r="P296" s="28"/>
      <c r="Q296" s="28"/>
      <c r="R296" s="28"/>
      <c r="S296" s="28"/>
    </row>
    <row r="297" spans="2:19" s="19" customFormat="1" ht="15.75" outlineLevel="2" x14ac:dyDescent="0.2">
      <c r="B297" s="20"/>
      <c r="C297" s="143" t="s">
        <v>2</v>
      </c>
      <c r="D297" s="143" t="s">
        <v>713</v>
      </c>
      <c r="E297" s="143"/>
      <c r="F297" s="143" t="s">
        <v>396</v>
      </c>
      <c r="G297" s="145" t="s">
        <v>3</v>
      </c>
      <c r="H297" s="146">
        <v>1.8</v>
      </c>
      <c r="K297" s="20"/>
      <c r="L297" s="20"/>
    </row>
    <row r="298" spans="2:19" s="19" customFormat="1" ht="15.75" outlineLevel="2" x14ac:dyDescent="0.2">
      <c r="B298" s="20"/>
      <c r="C298" s="143" t="s">
        <v>2</v>
      </c>
      <c r="D298" s="143" t="s">
        <v>657</v>
      </c>
      <c r="E298" s="143"/>
      <c r="F298" s="143" t="s">
        <v>716</v>
      </c>
      <c r="G298" s="145" t="s">
        <v>557</v>
      </c>
      <c r="H298" s="146">
        <v>39</v>
      </c>
      <c r="K298" s="20"/>
      <c r="L298" s="20"/>
    </row>
    <row r="299" spans="2:19" s="19" customFormat="1" ht="15.75" outlineLevel="2" x14ac:dyDescent="0.2">
      <c r="B299" s="20"/>
      <c r="C299" s="167" t="s">
        <v>8</v>
      </c>
      <c r="D299" s="168" t="s">
        <v>487</v>
      </c>
      <c r="E299" s="168"/>
      <c r="F299" s="168" t="s">
        <v>718</v>
      </c>
      <c r="G299" s="165" t="s">
        <v>557</v>
      </c>
      <c r="H299" s="169">
        <f>(H24-H297)/(H297/H298)</f>
        <v>285.99999999999994</v>
      </c>
      <c r="I299" s="73"/>
      <c r="K299" s="46"/>
      <c r="L299" s="46"/>
    </row>
    <row r="300" spans="2:19" s="19" customFormat="1" ht="15.75" outlineLevel="2" x14ac:dyDescent="0.2">
      <c r="B300" s="20"/>
      <c r="C300" s="143" t="s">
        <v>2</v>
      </c>
      <c r="D300" s="143" t="s">
        <v>658</v>
      </c>
      <c r="E300" s="143"/>
      <c r="F300" s="143" t="s">
        <v>717</v>
      </c>
      <c r="G300" s="145" t="s">
        <v>557</v>
      </c>
      <c r="H300" s="158">
        <v>286</v>
      </c>
      <c r="I300" s="73"/>
      <c r="K300" s="46"/>
      <c r="L300" s="46"/>
    </row>
    <row r="301" spans="2:19" s="20" customFormat="1" outlineLevel="2" x14ac:dyDescent="0.2">
      <c r="C301" s="28"/>
      <c r="D301" s="28"/>
      <c r="E301" s="28"/>
      <c r="F301" s="28"/>
      <c r="G301" s="30"/>
      <c r="H301" s="30"/>
    </row>
    <row r="302" spans="2:19" s="85" customFormat="1" x14ac:dyDescent="0.2">
      <c r="B302" s="26" t="s">
        <v>562</v>
      </c>
      <c r="C302" s="96"/>
      <c r="D302" s="97"/>
      <c r="E302" s="97"/>
      <c r="F302" s="90"/>
      <c r="G302" s="98"/>
      <c r="H302" s="99"/>
      <c r="I302" s="28"/>
      <c r="K302" s="28"/>
      <c r="L302" s="28"/>
    </row>
    <row r="303" spans="2:19" s="100" customFormat="1" outlineLevel="1" x14ac:dyDescent="0.2">
      <c r="C303" s="101" t="s">
        <v>49</v>
      </c>
      <c r="E303" s="84"/>
      <c r="F303" s="84"/>
      <c r="G303" s="84"/>
      <c r="H303" s="84"/>
      <c r="K303" s="102"/>
      <c r="L303" s="102"/>
    </row>
    <row r="304" spans="2:19" s="100" customFormat="1" outlineLevel="2" x14ac:dyDescent="0.2">
      <c r="B304" s="102"/>
      <c r="D304" s="160" t="s">
        <v>50</v>
      </c>
      <c r="E304" s="160"/>
      <c r="F304" s="160"/>
      <c r="G304" s="161" t="s">
        <v>3</v>
      </c>
      <c r="H304" s="164">
        <f>H18</f>
        <v>85</v>
      </c>
      <c r="K304" s="102"/>
      <c r="L304" s="102"/>
    </row>
    <row r="305" spans="2:12" s="100" customFormat="1" outlineLevel="2" x14ac:dyDescent="0.2">
      <c r="B305" s="102"/>
      <c r="D305" s="160" t="s">
        <v>51</v>
      </c>
      <c r="E305" s="160"/>
      <c r="F305" s="160"/>
      <c r="G305" s="161" t="s">
        <v>3</v>
      </c>
      <c r="H305" s="164">
        <f>H19</f>
        <v>330</v>
      </c>
      <c r="K305" s="102"/>
      <c r="L305" s="102"/>
    </row>
    <row r="306" spans="2:12" s="100" customFormat="1" outlineLevel="2" x14ac:dyDescent="0.2">
      <c r="B306" s="102"/>
      <c r="D306" s="160" t="s">
        <v>52</v>
      </c>
      <c r="E306" s="160"/>
      <c r="F306" s="160"/>
      <c r="G306" s="161" t="s">
        <v>10</v>
      </c>
      <c r="H306" s="163">
        <f>H38/H18</f>
        <v>0.24096385542168677</v>
      </c>
      <c r="K306" s="102"/>
      <c r="L306" s="102"/>
    </row>
    <row r="307" spans="2:12" s="100" customFormat="1" outlineLevel="2" x14ac:dyDescent="0.2">
      <c r="B307" s="102"/>
      <c r="D307" s="160" t="s">
        <v>53</v>
      </c>
      <c r="E307" s="160"/>
      <c r="F307" s="160"/>
      <c r="G307" s="161" t="s">
        <v>3</v>
      </c>
      <c r="H307" s="164">
        <f>H60</f>
        <v>93.632349193046835</v>
      </c>
      <c r="K307" s="102"/>
      <c r="L307" s="102"/>
    </row>
    <row r="308" spans="2:12" s="100" customFormat="1" outlineLevel="2" x14ac:dyDescent="0.2">
      <c r="B308" s="102"/>
      <c r="D308" s="160" t="s">
        <v>54</v>
      </c>
      <c r="E308" s="160"/>
      <c r="F308" s="160"/>
      <c r="G308" s="161" t="s">
        <v>3</v>
      </c>
      <c r="H308" s="164">
        <f>H51</f>
        <v>466.69047558312138</v>
      </c>
      <c r="K308" s="102"/>
      <c r="L308" s="102"/>
    </row>
    <row r="309" spans="2:12" s="100" customFormat="1" outlineLevel="2" x14ac:dyDescent="0.2">
      <c r="B309" s="102"/>
      <c r="D309" s="160" t="s">
        <v>55</v>
      </c>
      <c r="E309" s="160"/>
      <c r="F309" s="160"/>
      <c r="G309" s="161" t="s">
        <v>5</v>
      </c>
      <c r="H309" s="162">
        <f>H37</f>
        <v>17</v>
      </c>
      <c r="K309" s="102"/>
      <c r="L309" s="102"/>
    </row>
    <row r="310" spans="2:12" s="100" customFormat="1" outlineLevel="2" x14ac:dyDescent="0.2">
      <c r="B310" s="102"/>
      <c r="D310" s="160" t="s">
        <v>400</v>
      </c>
      <c r="E310" s="160"/>
      <c r="F310" s="160"/>
      <c r="G310" s="161" t="s">
        <v>3</v>
      </c>
      <c r="H310" s="162">
        <f>H24</f>
        <v>15</v>
      </c>
      <c r="K310" s="102"/>
      <c r="L310" s="102"/>
    </row>
    <row r="311" spans="2:12" s="100" customFormat="1" outlineLevel="2" x14ac:dyDescent="0.2">
      <c r="B311" s="102"/>
      <c r="D311" s="160" t="s">
        <v>403</v>
      </c>
      <c r="E311" s="160"/>
      <c r="F311" s="160"/>
      <c r="G311" s="161" t="s">
        <v>42</v>
      </c>
      <c r="H311" s="162">
        <f>H172</f>
        <v>0.30153780238681421</v>
      </c>
      <c r="K311" s="102"/>
      <c r="L311" s="102"/>
    </row>
    <row r="312" spans="2:12" s="100" customFormat="1" outlineLevel="2" x14ac:dyDescent="0.2">
      <c r="B312" s="102"/>
      <c r="D312" s="160" t="s">
        <v>660</v>
      </c>
      <c r="E312" s="160"/>
      <c r="F312" s="160"/>
      <c r="G312" s="161" t="s">
        <v>10</v>
      </c>
      <c r="H312" s="163">
        <f>H74</f>
        <v>0.85763893116752199</v>
      </c>
      <c r="K312" s="102"/>
      <c r="L312" s="102"/>
    </row>
    <row r="313" spans="2:12" s="100" customFormat="1" outlineLevel="2" x14ac:dyDescent="0.2">
      <c r="B313" s="102"/>
      <c r="D313" s="160" t="s">
        <v>56</v>
      </c>
      <c r="E313" s="160"/>
      <c r="F313" s="160"/>
      <c r="G313" s="161"/>
      <c r="H313" s="163">
        <f>H100</f>
        <v>0.51991374979353955</v>
      </c>
      <c r="K313" s="102"/>
      <c r="L313" s="102"/>
    </row>
    <row r="314" spans="2:12" s="100" customFormat="1" outlineLevel="2" x14ac:dyDescent="0.2">
      <c r="B314" s="102"/>
      <c r="D314" s="160" t="s">
        <v>661</v>
      </c>
      <c r="E314" s="160"/>
      <c r="F314" s="160"/>
      <c r="G314" s="161" t="s">
        <v>3</v>
      </c>
      <c r="H314" s="164">
        <f>H99</f>
        <v>101.39999999999999</v>
      </c>
      <c r="K314" s="102"/>
      <c r="L314" s="102"/>
    </row>
    <row r="315" spans="2:12" s="100" customFormat="1" outlineLevel="2" x14ac:dyDescent="0.2">
      <c r="B315" s="102"/>
      <c r="D315" s="160" t="s">
        <v>57</v>
      </c>
      <c r="E315" s="160"/>
      <c r="F315" s="160"/>
      <c r="G315" s="161" t="s">
        <v>5</v>
      </c>
      <c r="H315" s="163">
        <f>H197</f>
        <v>0.26001476238959159</v>
      </c>
      <c r="K315" s="102"/>
      <c r="L315" s="102"/>
    </row>
    <row r="316" spans="2:12" s="100" customFormat="1" outlineLevel="2" x14ac:dyDescent="0.2">
      <c r="B316" s="102"/>
      <c r="D316" s="160" t="s">
        <v>47</v>
      </c>
      <c r="E316" s="160"/>
      <c r="F316" s="160"/>
      <c r="G316" s="161" t="s">
        <v>5</v>
      </c>
      <c r="H316" s="163">
        <f>H214</f>
        <v>1.0925764236358921</v>
      </c>
      <c r="K316" s="102"/>
      <c r="L316" s="102"/>
    </row>
    <row r="317" spans="2:12" s="100" customFormat="1" outlineLevel="2" x14ac:dyDescent="0.2">
      <c r="B317" s="102"/>
      <c r="D317" s="160" t="s">
        <v>58</v>
      </c>
      <c r="E317" s="160"/>
      <c r="F317" s="160"/>
      <c r="G317" s="161" t="s">
        <v>5</v>
      </c>
      <c r="H317" s="163">
        <f>H225</f>
        <v>4.5158355471755875</v>
      </c>
      <c r="K317" s="102"/>
      <c r="L317" s="102"/>
    </row>
    <row r="318" spans="2:12" s="100" customFormat="1" outlineLevel="2" x14ac:dyDescent="0.2">
      <c r="B318" s="102"/>
      <c r="D318" s="160" t="s">
        <v>48</v>
      </c>
      <c r="E318" s="160"/>
      <c r="F318" s="160"/>
      <c r="G318" s="161" t="s">
        <v>68</v>
      </c>
      <c r="H318" s="166">
        <f>H226</f>
        <v>0.79011572489136317</v>
      </c>
      <c r="K318" s="102"/>
      <c r="L318" s="102"/>
    </row>
    <row r="319" spans="2:12" s="100" customFormat="1" outlineLevel="2" x14ac:dyDescent="0.2">
      <c r="B319" s="102"/>
      <c r="D319" s="84"/>
      <c r="E319" s="84"/>
      <c r="F319" s="84"/>
      <c r="G319" s="84"/>
      <c r="H319" s="84"/>
      <c r="K319" s="102"/>
      <c r="L319" s="102"/>
    </row>
    <row r="320" spans="2:12" s="100" customFormat="1" outlineLevel="1" x14ac:dyDescent="0.2">
      <c r="B320" s="102"/>
      <c r="C320" s="101" t="s">
        <v>59</v>
      </c>
      <c r="E320" s="84"/>
      <c r="F320" s="84"/>
      <c r="G320" s="84"/>
      <c r="H320" s="84"/>
      <c r="K320" s="102"/>
      <c r="L320" s="102"/>
    </row>
    <row r="321" spans="2:12" s="100" customFormat="1" outlineLevel="2" x14ac:dyDescent="0.2">
      <c r="B321" s="102"/>
      <c r="D321" s="160" t="s">
        <v>60</v>
      </c>
      <c r="E321" s="160"/>
      <c r="F321" s="160"/>
      <c r="G321" s="161"/>
      <c r="H321" s="161" t="str">
        <f>H80</f>
        <v>EE20/10/6</v>
      </c>
      <c r="K321" s="102"/>
      <c r="L321" s="102"/>
    </row>
    <row r="322" spans="2:12" s="100" customFormat="1" outlineLevel="2" x14ac:dyDescent="0.2">
      <c r="B322" s="102"/>
      <c r="D322" s="160" t="s">
        <v>72</v>
      </c>
      <c r="E322" s="160"/>
      <c r="F322" s="160"/>
      <c r="G322" s="161"/>
      <c r="H322" s="161" t="str">
        <f>H81</f>
        <v>TP4A(TDG)</v>
      </c>
      <c r="K322" s="102"/>
      <c r="L322" s="102"/>
    </row>
    <row r="323" spans="2:12" s="100" customFormat="1" ht="14.25" outlineLevel="2" x14ac:dyDescent="0.2">
      <c r="B323" s="102"/>
      <c r="D323" s="160" t="s">
        <v>61</v>
      </c>
      <c r="E323" s="160"/>
      <c r="F323" s="160"/>
      <c r="G323" s="161" t="s">
        <v>154</v>
      </c>
      <c r="H323" s="161">
        <f>H83</f>
        <v>32</v>
      </c>
      <c r="K323" s="102"/>
      <c r="L323" s="102"/>
    </row>
    <row r="324" spans="2:12" s="100" customFormat="1" outlineLevel="2" x14ac:dyDescent="0.2">
      <c r="B324" s="102"/>
      <c r="D324" s="160" t="s">
        <v>155</v>
      </c>
      <c r="E324" s="160"/>
      <c r="F324" s="160"/>
      <c r="G324" s="161" t="s">
        <v>62</v>
      </c>
      <c r="H324" s="164">
        <f>H102*1000</f>
        <v>191.36026192296958</v>
      </c>
      <c r="K324" s="102"/>
      <c r="L324" s="102"/>
    </row>
    <row r="325" spans="2:12" s="100" customFormat="1" outlineLevel="2" x14ac:dyDescent="0.2">
      <c r="B325" s="102"/>
      <c r="D325" s="160" t="s">
        <v>63</v>
      </c>
      <c r="E325" s="160"/>
      <c r="F325" s="160"/>
      <c r="G325" s="161" t="s">
        <v>41</v>
      </c>
      <c r="H325" s="164">
        <f>H71*1000000</f>
        <v>556.91876429806803</v>
      </c>
      <c r="K325" s="102"/>
      <c r="L325" s="102"/>
    </row>
    <row r="326" spans="2:12" s="100" customFormat="1" outlineLevel="2" x14ac:dyDescent="0.2">
      <c r="B326" s="102"/>
      <c r="D326" s="160" t="s">
        <v>471</v>
      </c>
      <c r="E326" s="160"/>
      <c r="F326" s="160"/>
      <c r="G326" s="161" t="s">
        <v>19</v>
      </c>
      <c r="H326" s="164">
        <f>H106</f>
        <v>0</v>
      </c>
      <c r="K326" s="102"/>
      <c r="L326" s="102"/>
    </row>
    <row r="327" spans="2:12" s="100" customFormat="1" outlineLevel="2" x14ac:dyDescent="0.2">
      <c r="B327" s="102"/>
      <c r="D327" s="160" t="s">
        <v>64</v>
      </c>
      <c r="E327" s="160"/>
      <c r="F327" s="160"/>
      <c r="G327" s="161" t="s">
        <v>28</v>
      </c>
      <c r="H327" s="164">
        <f>H90</f>
        <v>78</v>
      </c>
      <c r="K327" s="102"/>
      <c r="L327" s="102"/>
    </row>
    <row r="328" spans="2:12" s="100" customFormat="1" outlineLevel="2" x14ac:dyDescent="0.2">
      <c r="B328" s="102"/>
      <c r="D328" s="160" t="s">
        <v>65</v>
      </c>
      <c r="E328" s="160"/>
      <c r="F328" s="160"/>
      <c r="G328" s="161" t="s">
        <v>34</v>
      </c>
      <c r="H328" s="164">
        <f>H117</f>
        <v>30</v>
      </c>
      <c r="K328" s="102"/>
      <c r="L328" s="102"/>
    </row>
    <row r="329" spans="2:12" s="100" customFormat="1" outlineLevel="2" x14ac:dyDescent="0.2">
      <c r="B329" s="102"/>
      <c r="D329" s="160" t="s">
        <v>470</v>
      </c>
      <c r="E329" s="160"/>
      <c r="F329" s="160"/>
      <c r="G329" s="161"/>
      <c r="H329" s="164">
        <f>H118</f>
        <v>1</v>
      </c>
      <c r="K329" s="102"/>
      <c r="L329" s="102"/>
    </row>
    <row r="330" spans="2:12" s="100" customFormat="1" outlineLevel="2" x14ac:dyDescent="0.2">
      <c r="B330" s="102"/>
      <c r="D330" s="160" t="s">
        <v>66</v>
      </c>
      <c r="E330" s="160"/>
      <c r="F330" s="160"/>
      <c r="G330" s="161" t="s">
        <v>156</v>
      </c>
      <c r="H330" s="164">
        <f>H124</f>
        <v>2</v>
      </c>
      <c r="K330" s="102"/>
      <c r="L330" s="102"/>
    </row>
    <row r="331" spans="2:12" s="100" customFormat="1" ht="15.75" outlineLevel="2" x14ac:dyDescent="0.3">
      <c r="B331" s="102"/>
      <c r="D331" s="160" t="s">
        <v>474</v>
      </c>
      <c r="E331" s="160"/>
      <c r="F331" s="160"/>
      <c r="G331" s="165" t="s">
        <v>28</v>
      </c>
      <c r="H331" s="164">
        <f>H92</f>
        <v>12</v>
      </c>
      <c r="K331" s="102"/>
      <c r="L331" s="102"/>
    </row>
    <row r="332" spans="2:12" s="100" customFormat="1" outlineLevel="2" x14ac:dyDescent="0.2">
      <c r="B332" s="102"/>
      <c r="D332" s="160" t="s">
        <v>475</v>
      </c>
      <c r="E332" s="160"/>
      <c r="F332" s="160"/>
      <c r="G332" s="161" t="s">
        <v>34</v>
      </c>
      <c r="H332" s="164">
        <f>H129</f>
        <v>25</v>
      </c>
      <c r="K332" s="102"/>
      <c r="L332" s="102"/>
    </row>
    <row r="333" spans="2:12" s="100" customFormat="1" outlineLevel="2" x14ac:dyDescent="0.2">
      <c r="B333" s="102"/>
      <c r="D333" s="160" t="s">
        <v>476</v>
      </c>
      <c r="E333" s="160"/>
      <c r="F333" s="160"/>
      <c r="G333" s="161"/>
      <c r="H333" s="164">
        <f>H130</f>
        <v>2</v>
      </c>
      <c r="K333" s="102"/>
      <c r="L333" s="102"/>
    </row>
    <row r="334" spans="2:12" s="100" customFormat="1" outlineLevel="2" x14ac:dyDescent="0.2">
      <c r="B334" s="102"/>
      <c r="D334" s="160" t="s">
        <v>480</v>
      </c>
      <c r="E334" s="160"/>
      <c r="F334" s="160"/>
      <c r="G334" s="161" t="s">
        <v>156</v>
      </c>
      <c r="H334" s="164">
        <f>H138</f>
        <v>2</v>
      </c>
      <c r="K334" s="102"/>
      <c r="L334" s="102"/>
    </row>
    <row r="335" spans="2:12" s="100" customFormat="1" outlineLevel="2" x14ac:dyDescent="0.2">
      <c r="B335" s="102"/>
      <c r="D335" s="160" t="s">
        <v>73</v>
      </c>
      <c r="E335" s="160"/>
      <c r="F335" s="160"/>
      <c r="G335" s="165" t="s">
        <v>28</v>
      </c>
      <c r="H335" s="164">
        <f>H94</f>
        <v>11</v>
      </c>
      <c r="K335" s="102"/>
      <c r="L335" s="102"/>
    </row>
    <row r="336" spans="2:12" s="100" customFormat="1" outlineLevel="2" x14ac:dyDescent="0.2">
      <c r="B336" s="102"/>
      <c r="D336" s="160" t="s">
        <v>38</v>
      </c>
      <c r="E336" s="160"/>
      <c r="F336" s="160"/>
      <c r="G336" s="161" t="s">
        <v>41</v>
      </c>
      <c r="H336" s="162">
        <f>H144*1000000</f>
        <v>13.922969107451699</v>
      </c>
      <c r="K336" s="102"/>
      <c r="L336" s="102"/>
    </row>
    <row r="337" spans="2:12" s="100" customFormat="1" outlineLevel="2" x14ac:dyDescent="0.2">
      <c r="B337" s="102"/>
      <c r="D337" s="84"/>
      <c r="E337" s="84"/>
      <c r="F337" s="84"/>
      <c r="G337" s="84"/>
      <c r="H337" s="84"/>
      <c r="K337" s="102"/>
      <c r="L337" s="102"/>
    </row>
    <row r="338" spans="2:12" s="100" customFormat="1" outlineLevel="1" x14ac:dyDescent="0.2">
      <c r="B338" s="102"/>
      <c r="C338" s="101" t="s">
        <v>67</v>
      </c>
      <c r="E338" s="84"/>
      <c r="F338" s="84"/>
      <c r="G338" s="84"/>
      <c r="H338" s="84"/>
      <c r="K338" s="102"/>
      <c r="L338" s="102"/>
    </row>
    <row r="339" spans="2:12" s="100" customFormat="1" outlineLevel="2" x14ac:dyDescent="0.2">
      <c r="B339" s="102"/>
      <c r="D339" s="160" t="s">
        <v>662</v>
      </c>
      <c r="E339" s="160"/>
      <c r="F339" s="161"/>
      <c r="G339" s="161" t="s">
        <v>9</v>
      </c>
      <c r="H339" s="162">
        <f>H59</f>
        <v>47</v>
      </c>
      <c r="K339" s="102"/>
      <c r="L339" s="102"/>
    </row>
    <row r="340" spans="2:12" s="100" customFormat="1" outlineLevel="2" x14ac:dyDescent="0.2">
      <c r="B340" s="102"/>
      <c r="D340" s="160" t="s">
        <v>663</v>
      </c>
      <c r="E340" s="160"/>
      <c r="F340" s="161"/>
      <c r="G340" s="161" t="s">
        <v>9</v>
      </c>
      <c r="H340" s="162">
        <f>H163</f>
        <v>680</v>
      </c>
      <c r="K340" s="102"/>
      <c r="L340" s="102"/>
    </row>
    <row r="341" spans="2:12" s="100" customFormat="1" outlineLevel="2" x14ac:dyDescent="0.2">
      <c r="B341" s="102"/>
      <c r="D341" s="160" t="s">
        <v>482</v>
      </c>
      <c r="E341" s="160"/>
      <c r="F341" s="161"/>
      <c r="G341" s="161"/>
      <c r="H341" s="162">
        <f>H165</f>
        <v>1</v>
      </c>
      <c r="K341" s="102"/>
      <c r="L341" s="102"/>
    </row>
    <row r="342" spans="2:12" s="100" customFormat="1" outlineLevel="2" x14ac:dyDescent="0.2">
      <c r="B342" s="102"/>
      <c r="D342" s="160" t="s">
        <v>664</v>
      </c>
      <c r="E342" s="160"/>
      <c r="F342" s="161"/>
      <c r="G342" s="161" t="s">
        <v>41</v>
      </c>
      <c r="H342" s="162">
        <f>H168</f>
        <v>2.2000000000000002</v>
      </c>
      <c r="K342" s="102"/>
      <c r="L342" s="102"/>
    </row>
    <row r="343" spans="2:12" s="100" customFormat="1" outlineLevel="2" x14ac:dyDescent="0.2">
      <c r="B343" s="102"/>
      <c r="D343" s="160" t="s">
        <v>665</v>
      </c>
      <c r="E343" s="160"/>
      <c r="F343" s="161"/>
      <c r="G343" s="161" t="s">
        <v>9</v>
      </c>
      <c r="H343" s="162">
        <f>H170</f>
        <v>680</v>
      </c>
      <c r="K343" s="102"/>
      <c r="L343" s="102"/>
    </row>
    <row r="344" spans="2:12" s="100" customFormat="1" outlineLevel="2" x14ac:dyDescent="0.2">
      <c r="B344" s="102"/>
      <c r="D344" s="160" t="s">
        <v>669</v>
      </c>
      <c r="E344" s="160"/>
      <c r="F344" s="161"/>
      <c r="G344" s="161" t="s">
        <v>9</v>
      </c>
      <c r="H344" s="162">
        <f>H182</f>
        <v>22</v>
      </c>
      <c r="K344" s="102"/>
      <c r="L344" s="102"/>
    </row>
    <row r="345" spans="2:12" s="100" customFormat="1" outlineLevel="2" x14ac:dyDescent="0.2">
      <c r="B345" s="102"/>
      <c r="D345" s="160" t="s">
        <v>670</v>
      </c>
      <c r="E345" s="160"/>
      <c r="F345" s="161"/>
      <c r="G345" s="161" t="s">
        <v>558</v>
      </c>
      <c r="H345" s="163">
        <f>H153</f>
        <v>0.93279347628371201</v>
      </c>
      <c r="K345" s="102"/>
      <c r="L345" s="102"/>
    </row>
    <row r="346" spans="2:12" s="100" customFormat="1" outlineLevel="2" x14ac:dyDescent="0.2">
      <c r="B346" s="102"/>
      <c r="D346" s="160" t="s">
        <v>671</v>
      </c>
      <c r="E346" s="160"/>
      <c r="F346" s="161"/>
      <c r="G346" s="161" t="s">
        <v>557</v>
      </c>
      <c r="H346" s="162">
        <f>H149</f>
        <v>68</v>
      </c>
      <c r="K346" s="102"/>
      <c r="L346" s="102"/>
    </row>
    <row r="347" spans="2:12" s="100" customFormat="1" outlineLevel="2" x14ac:dyDescent="0.2">
      <c r="B347" s="102"/>
      <c r="D347" s="160" t="s">
        <v>672</v>
      </c>
      <c r="E347" s="160"/>
      <c r="F347" s="161"/>
      <c r="G347" s="161" t="s">
        <v>39</v>
      </c>
      <c r="H347" s="164">
        <f>H147</f>
        <v>1</v>
      </c>
      <c r="K347" s="102"/>
      <c r="L347" s="102"/>
    </row>
    <row r="348" spans="2:12" s="102" customFormat="1" outlineLevel="2" x14ac:dyDescent="0.2">
      <c r="D348" s="103"/>
      <c r="E348" s="103"/>
      <c r="F348" s="94"/>
      <c r="G348" s="94"/>
      <c r="H348" s="104"/>
    </row>
    <row r="349" spans="2:12" s="100" customFormat="1" outlineLevel="1" x14ac:dyDescent="0.2">
      <c r="B349" s="102"/>
      <c r="C349" s="101" t="s">
        <v>715</v>
      </c>
      <c r="E349" s="84"/>
      <c r="F349" s="84"/>
      <c r="G349" s="84"/>
      <c r="H349" s="84"/>
      <c r="K349" s="102"/>
      <c r="L349" s="102"/>
    </row>
    <row r="350" spans="2:12" s="100" customFormat="1" outlineLevel="2" x14ac:dyDescent="0.2">
      <c r="B350" s="102"/>
      <c r="D350" s="160" t="s">
        <v>153</v>
      </c>
      <c r="E350" s="160"/>
      <c r="F350" s="161" t="s">
        <v>105</v>
      </c>
      <c r="G350" s="161" t="s">
        <v>557</v>
      </c>
      <c r="H350" s="162">
        <f>H251</f>
        <v>10</v>
      </c>
      <c r="K350" s="102"/>
      <c r="L350" s="102"/>
    </row>
    <row r="351" spans="2:12" s="100" customFormat="1" outlineLevel="2" x14ac:dyDescent="0.2">
      <c r="B351" s="102"/>
      <c r="D351" s="160" t="s">
        <v>520</v>
      </c>
      <c r="E351" s="160"/>
      <c r="F351" s="161" t="s">
        <v>106</v>
      </c>
      <c r="G351" s="161" t="s">
        <v>557</v>
      </c>
      <c r="H351" s="162">
        <f>H253</f>
        <v>50</v>
      </c>
      <c r="K351" s="102"/>
      <c r="L351" s="102"/>
    </row>
    <row r="352" spans="2:12" s="100" customFormat="1" outlineLevel="2" x14ac:dyDescent="0.2">
      <c r="B352" s="102"/>
      <c r="D352" s="160" t="s">
        <v>484</v>
      </c>
      <c r="E352" s="160"/>
      <c r="F352" s="161" t="s">
        <v>107</v>
      </c>
      <c r="G352" s="161" t="s">
        <v>557</v>
      </c>
      <c r="H352" s="163">
        <f>H261</f>
        <v>0.82</v>
      </c>
      <c r="K352" s="102"/>
      <c r="L352" s="102"/>
    </row>
    <row r="353" spans="2:12" s="100" customFormat="1" outlineLevel="2" x14ac:dyDescent="0.2">
      <c r="B353" s="102"/>
      <c r="D353" s="160" t="s">
        <v>485</v>
      </c>
      <c r="E353" s="160"/>
      <c r="F353" s="161" t="s">
        <v>108</v>
      </c>
      <c r="G353" s="161" t="s">
        <v>557</v>
      </c>
      <c r="H353" s="162">
        <f>H266</f>
        <v>1.2</v>
      </c>
      <c r="K353" s="102"/>
      <c r="L353" s="102"/>
    </row>
    <row r="354" spans="2:12" s="100" customFormat="1" outlineLevel="2" x14ac:dyDescent="0.2">
      <c r="B354" s="102"/>
      <c r="D354" s="160" t="s">
        <v>560</v>
      </c>
      <c r="E354" s="160"/>
      <c r="F354" s="161" t="s">
        <v>109</v>
      </c>
      <c r="G354" s="161" t="s">
        <v>557</v>
      </c>
      <c r="H354" s="162">
        <f>H286</f>
        <v>16</v>
      </c>
      <c r="K354" s="102"/>
      <c r="L354" s="102"/>
    </row>
    <row r="355" spans="2:12" s="100" customFormat="1" outlineLevel="2" x14ac:dyDescent="0.2">
      <c r="B355" s="102"/>
      <c r="D355" s="160" t="s">
        <v>561</v>
      </c>
      <c r="E355" s="160"/>
      <c r="F355" s="161" t="s">
        <v>110</v>
      </c>
      <c r="G355" s="161" t="s">
        <v>39</v>
      </c>
      <c r="H355" s="163">
        <f>H288</f>
        <v>3.3</v>
      </c>
      <c r="K355" s="102"/>
      <c r="L355" s="102"/>
    </row>
    <row r="356" spans="2:12" s="100" customFormat="1" outlineLevel="2" x14ac:dyDescent="0.2">
      <c r="B356" s="102"/>
      <c r="D356" s="160" t="s">
        <v>561</v>
      </c>
      <c r="E356" s="160"/>
      <c r="F356" s="161" t="s">
        <v>111</v>
      </c>
      <c r="G356" s="161" t="s">
        <v>39</v>
      </c>
      <c r="H356" s="162">
        <f>H290</f>
        <v>820</v>
      </c>
      <c r="K356" s="102"/>
      <c r="L356" s="102"/>
    </row>
    <row r="357" spans="2:12" s="100" customFormat="1" outlineLevel="2" x14ac:dyDescent="0.2">
      <c r="B357" s="102"/>
      <c r="F357" s="84"/>
    </row>
    <row r="358" spans="2:12" s="100" customFormat="1" outlineLevel="1" x14ac:dyDescent="0.2">
      <c r="B358" s="102"/>
      <c r="C358" s="101" t="s">
        <v>486</v>
      </c>
      <c r="E358" s="84"/>
      <c r="F358" s="84"/>
      <c r="G358" s="84"/>
      <c r="H358" s="84"/>
      <c r="K358" s="102"/>
      <c r="L358" s="102"/>
    </row>
    <row r="359" spans="2:12" s="100" customFormat="1" outlineLevel="2" x14ac:dyDescent="0.2">
      <c r="B359" s="102"/>
      <c r="D359" s="160" t="s">
        <v>673</v>
      </c>
      <c r="E359" s="160"/>
      <c r="F359" s="161" t="s">
        <v>397</v>
      </c>
      <c r="G359" s="161" t="s">
        <v>557</v>
      </c>
      <c r="H359" s="162">
        <f>H298</f>
        <v>39</v>
      </c>
      <c r="K359" s="102"/>
      <c r="L359" s="102"/>
    </row>
    <row r="360" spans="2:12" s="100" customFormat="1" outlineLevel="2" x14ac:dyDescent="0.2">
      <c r="B360" s="102"/>
      <c r="D360" s="160" t="s">
        <v>674</v>
      </c>
      <c r="E360" s="160"/>
      <c r="F360" s="161" t="s">
        <v>398</v>
      </c>
      <c r="G360" s="161" t="s">
        <v>557</v>
      </c>
      <c r="H360" s="162">
        <f>H300</f>
        <v>286</v>
      </c>
      <c r="K360" s="102"/>
      <c r="L360" s="102"/>
    </row>
  </sheetData>
  <sheetProtection selectLockedCells="1"/>
  <mergeCells count="14">
    <mergeCell ref="B5:C5"/>
    <mergeCell ref="B1:H1"/>
    <mergeCell ref="B3:C3"/>
    <mergeCell ref="D3:E3"/>
    <mergeCell ref="B4:C4"/>
    <mergeCell ref="D4:E4"/>
    <mergeCell ref="C245:H245"/>
    <mergeCell ref="C294:H294"/>
    <mergeCell ref="B6:C6"/>
    <mergeCell ref="D6:E6"/>
    <mergeCell ref="B7:C7"/>
    <mergeCell ref="D7:E7"/>
    <mergeCell ref="C64:H64"/>
    <mergeCell ref="C65:H65"/>
  </mergeCells>
  <printOptions headings="1" gridLines="1"/>
  <pageMargins left="0.78740157480314965" right="0.78740157480314965" top="0.98425196850393704" bottom="0.98425196850393704" header="0.51181102362204722" footer="0.51181102362204722"/>
  <pageSetup paperSize="9" scale="49" orientation="portrait" horizontalDpi="300" verticalDpi="300" r:id="rId1"/>
  <headerFooter alignWithMargins="0">
    <oddHeader>&amp;C&amp;F&amp;RSeite &amp;P</oddHeader>
    <oddFooter>&amp;RHL PS TM1
&amp;D</oddFooter>
  </headerFooter>
  <rowBreaks count="2" manualBreakCount="2">
    <brk id="77" min="1" max="6" man="1"/>
    <brk id="283" min="1" max="6" man="1"/>
  </rowBreaks>
  <colBreaks count="2" manualBreakCount="2">
    <brk id="8" max="408" man="1"/>
    <brk id="20" max="408" man="1"/>
  </colBreaks>
  <ignoredErrors>
    <ignoredError sqref="H271" 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msc!$B$3:$B$10</xm:f>
          </x14:formula1>
          <xm:sqref>H43</xm:sqref>
        </x14:dataValidation>
        <x14:dataValidation type="list" allowBlank="1" showInputMessage="1" showErrorMessage="1">
          <x14:formula1>
            <xm:f>msc!H3:H6</xm:f>
          </x14:formula1>
          <xm:sqref>H279</xm:sqref>
        </x14:dataValidation>
        <x14:dataValidation type="list" allowBlank="1" showInputMessage="1" showErrorMessage="1">
          <x14:formula1>
            <xm:f>msc!J3:J5</xm:f>
          </x14:formula1>
          <xm:sqref>H177</xm:sqref>
        </x14:dataValidation>
        <x14:dataValidation type="list" allowBlank="1" showInputMessage="1" showErrorMessage="1">
          <x14:formula1>
            <xm:f>msc!F3:F8</xm:f>
          </x14:formula1>
          <xm:sqref>H152</xm:sqref>
        </x14:dataValidation>
        <x14:dataValidation type="list" allowBlank="1" showInputMessage="1" showErrorMessage="1">
          <x14:formula1>
            <xm:f>msc!D3:D10</xm:f>
          </x14:formula1>
          <xm:sqref>H44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B1:AI427"/>
  <sheetViews>
    <sheetView tabSelected="1" topLeftCell="A256" zoomScale="85" zoomScaleNormal="85" zoomScaleSheetLayoutView="40" workbookViewId="0">
      <selection activeCell="I287" sqref="I287"/>
    </sheetView>
  </sheetViews>
  <sheetFormatPr defaultColWidth="11.5703125" defaultRowHeight="12.75" outlineLevelRow="2" x14ac:dyDescent="0.2"/>
  <cols>
    <col min="1" max="1" width="3.85546875" style="84" customWidth="1"/>
    <col min="2" max="2" width="5" style="85" customWidth="1"/>
    <col min="3" max="3" width="6.85546875" style="84" customWidth="1"/>
    <col min="4" max="4" width="51.85546875" style="84" customWidth="1"/>
    <col min="5" max="5" width="8.42578125" style="84" customWidth="1"/>
    <col min="6" max="6" width="22.7109375" style="84" bestFit="1" customWidth="1"/>
    <col min="7" max="7" width="15.28515625" style="84" customWidth="1"/>
    <col min="8" max="8" width="22.42578125" style="84" customWidth="1"/>
    <col min="9" max="9" width="51.85546875" style="84" customWidth="1"/>
    <col min="10" max="10" width="12" style="84" customWidth="1"/>
    <col min="11" max="11" width="10.42578125" style="84" bestFit="1" customWidth="1"/>
    <col min="12" max="12" width="8.42578125" style="84" bestFit="1" customWidth="1"/>
    <col min="13" max="13" width="10.42578125" style="84" bestFit="1" customWidth="1"/>
    <col min="14" max="14" width="8.42578125" style="84" bestFit="1" customWidth="1"/>
    <col min="15" max="16" width="9.42578125" style="84" bestFit="1" customWidth="1"/>
    <col min="17" max="17" width="11.7109375" style="84" bestFit="1" customWidth="1"/>
    <col min="18" max="19" width="10.42578125" style="84" bestFit="1" customWidth="1"/>
    <col min="20" max="20" width="11.42578125" style="84" customWidth="1"/>
    <col min="21" max="16384" width="11.5703125" style="84"/>
  </cols>
  <sheetData>
    <row r="1" spans="2:20" s="19" customFormat="1" ht="23.25" customHeight="1" x14ac:dyDescent="0.2">
      <c r="B1" s="202" t="s">
        <v>859</v>
      </c>
      <c r="C1" s="202"/>
      <c r="D1" s="202"/>
      <c r="E1" s="202"/>
      <c r="F1" s="202"/>
      <c r="G1" s="202"/>
      <c r="H1" s="202"/>
      <c r="I1" s="20"/>
      <c r="J1" s="20"/>
      <c r="K1" s="21"/>
      <c r="M1" s="22"/>
      <c r="N1" s="22"/>
      <c r="O1" s="22"/>
      <c r="P1" s="22"/>
      <c r="Q1" s="22"/>
      <c r="R1" s="22"/>
      <c r="S1" s="22"/>
      <c r="T1" s="22"/>
    </row>
    <row r="2" spans="2:20" s="19" customFormat="1" ht="13.5" thickBot="1" x14ac:dyDescent="0.25">
      <c r="E2" s="23"/>
      <c r="F2" s="22"/>
      <c r="L2" s="22"/>
      <c r="M2" s="22"/>
      <c r="N2" s="22"/>
      <c r="O2" s="22"/>
      <c r="P2" s="22"/>
      <c r="Q2" s="22"/>
      <c r="R2" s="22"/>
      <c r="S2" s="22"/>
      <c r="T2" s="22"/>
    </row>
    <row r="3" spans="2:20" s="19" customFormat="1" ht="15" thickBot="1" x14ac:dyDescent="0.25">
      <c r="B3" s="190" t="s">
        <v>79</v>
      </c>
      <c r="C3" s="191"/>
      <c r="D3" s="194"/>
      <c r="E3" s="195"/>
      <c r="F3" s="22"/>
      <c r="L3" s="22"/>
      <c r="M3" s="22"/>
      <c r="N3" s="22"/>
      <c r="O3" s="22"/>
      <c r="P3" s="22"/>
      <c r="Q3" s="22"/>
      <c r="R3" s="22"/>
      <c r="S3" s="22"/>
      <c r="T3" s="22"/>
    </row>
    <row r="4" spans="2:20" s="19" customFormat="1" ht="15" thickBot="1" x14ac:dyDescent="0.25">
      <c r="B4" s="190" t="s">
        <v>81</v>
      </c>
      <c r="C4" s="191"/>
      <c r="D4" s="194"/>
      <c r="E4" s="195"/>
      <c r="F4" s="22"/>
      <c r="L4" s="22"/>
      <c r="M4" s="22"/>
      <c r="N4" s="22"/>
      <c r="O4" s="22"/>
      <c r="P4" s="22"/>
      <c r="Q4" s="22"/>
      <c r="R4" s="22"/>
      <c r="S4" s="22"/>
      <c r="T4" s="22"/>
    </row>
    <row r="5" spans="2:20" s="19" customFormat="1" ht="15" thickBot="1" x14ac:dyDescent="0.25">
      <c r="B5" s="190" t="s">
        <v>176</v>
      </c>
      <c r="C5" s="191"/>
      <c r="D5" s="141" t="s">
        <v>857</v>
      </c>
      <c r="E5" s="142"/>
      <c r="F5" s="22"/>
      <c r="L5" s="22"/>
      <c r="M5" s="22"/>
      <c r="N5" s="22"/>
      <c r="O5" s="22"/>
      <c r="P5" s="22"/>
      <c r="Q5" s="22"/>
      <c r="R5" s="22"/>
      <c r="S5" s="22"/>
      <c r="T5" s="22"/>
    </row>
    <row r="6" spans="2:20" s="19" customFormat="1" ht="15" thickBot="1" x14ac:dyDescent="0.25">
      <c r="B6" s="190" t="s">
        <v>80</v>
      </c>
      <c r="C6" s="191"/>
      <c r="D6" s="192"/>
      <c r="E6" s="193"/>
      <c r="F6" s="22"/>
      <c r="L6" s="22"/>
      <c r="M6" s="22"/>
      <c r="N6" s="22"/>
      <c r="O6" s="22"/>
      <c r="P6" s="22"/>
      <c r="Q6" s="22"/>
      <c r="R6" s="22"/>
      <c r="S6" s="22"/>
      <c r="T6" s="22"/>
    </row>
    <row r="7" spans="2:20" s="19" customFormat="1" ht="15" thickBot="1" x14ac:dyDescent="0.25">
      <c r="B7" s="190" t="s">
        <v>183</v>
      </c>
      <c r="C7" s="191"/>
      <c r="D7" s="194"/>
      <c r="E7" s="195"/>
      <c r="F7" s="22"/>
      <c r="L7" s="22"/>
      <c r="M7" s="22"/>
      <c r="N7" s="22"/>
      <c r="O7" s="22"/>
      <c r="P7" s="22"/>
      <c r="Q7" s="22"/>
      <c r="R7" s="22"/>
      <c r="S7" s="22"/>
      <c r="T7" s="22"/>
    </row>
    <row r="8" spans="2:20" s="19" customFormat="1" x14ac:dyDescent="0.2">
      <c r="E8" s="23"/>
      <c r="F8" s="22"/>
      <c r="L8" s="22"/>
      <c r="M8" s="22"/>
      <c r="N8" s="22"/>
      <c r="O8" s="22"/>
      <c r="P8" s="22"/>
      <c r="Q8" s="22"/>
      <c r="R8" s="22"/>
      <c r="S8" s="22"/>
      <c r="T8" s="22"/>
    </row>
    <row r="9" spans="2:20" s="19" customFormat="1" ht="15" x14ac:dyDescent="0.2">
      <c r="B9" s="134" t="s">
        <v>628</v>
      </c>
      <c r="E9" s="23"/>
      <c r="F9" s="22"/>
      <c r="L9" s="22"/>
      <c r="M9" s="22"/>
      <c r="N9" s="22"/>
      <c r="O9" s="22"/>
      <c r="P9" s="22"/>
      <c r="Q9" s="22"/>
      <c r="R9" s="22"/>
      <c r="S9" s="22"/>
      <c r="T9" s="22"/>
    </row>
    <row r="10" spans="2:20" s="19" customFormat="1" ht="15" x14ac:dyDescent="0.2">
      <c r="B10" s="139" t="s">
        <v>71</v>
      </c>
      <c r="C10" s="140"/>
      <c r="D10" s="140"/>
      <c r="E10" s="21"/>
      <c r="F10" s="22"/>
      <c r="Q10" s="22"/>
      <c r="R10" s="22"/>
      <c r="S10" s="22"/>
      <c r="T10" s="22"/>
    </row>
    <row r="11" spans="2:20" s="19" customFormat="1" ht="15" x14ac:dyDescent="0.2">
      <c r="B11" s="185" t="s">
        <v>0</v>
      </c>
      <c r="C11" s="186"/>
      <c r="D11" s="186"/>
      <c r="E11" s="21"/>
      <c r="F11" s="22"/>
      <c r="Q11" s="22"/>
      <c r="R11" s="22"/>
      <c r="S11" s="22"/>
      <c r="T11" s="22"/>
    </row>
    <row r="12" spans="2:20" s="19" customFormat="1" ht="15" x14ac:dyDescent="0.2">
      <c r="B12" s="24" t="s">
        <v>565</v>
      </c>
      <c r="C12" s="25"/>
      <c r="D12" s="25"/>
      <c r="E12" s="21"/>
      <c r="F12" s="22"/>
      <c r="Q12" s="22"/>
      <c r="R12" s="22"/>
      <c r="S12" s="22"/>
      <c r="T12" s="22"/>
    </row>
    <row r="13" spans="2:20" s="19" customFormat="1" ht="15" x14ac:dyDescent="0.2">
      <c r="B13" s="24" t="s">
        <v>564</v>
      </c>
      <c r="C13" s="25"/>
      <c r="D13" s="25"/>
      <c r="E13" s="21"/>
      <c r="F13" s="22"/>
      <c r="Q13" s="22"/>
      <c r="R13" s="22"/>
      <c r="S13" s="22"/>
      <c r="T13" s="22"/>
    </row>
    <row r="14" spans="2:20" s="19" customFormat="1" ht="15" x14ac:dyDescent="0.2">
      <c r="B14" s="24" t="s">
        <v>629</v>
      </c>
      <c r="C14" s="25"/>
      <c r="D14" s="25"/>
      <c r="E14" s="21"/>
      <c r="F14" s="22"/>
      <c r="Q14" s="22"/>
      <c r="R14" s="22"/>
      <c r="S14" s="22"/>
      <c r="T14" s="22"/>
    </row>
    <row r="15" spans="2:20" s="19" customFormat="1" ht="15" x14ac:dyDescent="0.2">
      <c r="B15" s="24" t="s">
        <v>850</v>
      </c>
      <c r="C15" s="25"/>
      <c r="D15" s="25"/>
      <c r="E15" s="21"/>
      <c r="F15" s="22"/>
      <c r="Q15" s="22"/>
      <c r="R15" s="22"/>
      <c r="S15" s="22"/>
      <c r="T15" s="22"/>
    </row>
    <row r="16" spans="2:20" s="19" customFormat="1" ht="15" x14ac:dyDescent="0.2">
      <c r="B16" s="20"/>
      <c r="C16" s="24"/>
      <c r="D16" s="27" t="s">
        <v>679</v>
      </c>
      <c r="E16" s="41" t="s">
        <v>677</v>
      </c>
      <c r="F16" s="41" t="s">
        <v>678</v>
      </c>
      <c r="G16" s="138" t="s">
        <v>1</v>
      </c>
      <c r="H16" s="27" t="s">
        <v>676</v>
      </c>
      <c r="Q16" s="22"/>
      <c r="R16" s="22"/>
      <c r="S16" s="22"/>
      <c r="T16" s="22"/>
    </row>
    <row r="17" spans="2:20" s="19" customFormat="1" ht="15" x14ac:dyDescent="0.2">
      <c r="B17" s="26" t="s">
        <v>554</v>
      </c>
      <c r="C17" s="24"/>
      <c r="D17" s="25"/>
      <c r="E17" s="25"/>
      <c r="F17" s="21"/>
      <c r="G17" s="22"/>
      <c r="Q17" s="22"/>
      <c r="R17" s="22"/>
      <c r="S17" s="22"/>
      <c r="T17" s="22"/>
    </row>
    <row r="18" spans="2:20" s="19" customFormat="1" outlineLevel="1" x14ac:dyDescent="0.2">
      <c r="B18" s="26"/>
      <c r="C18" s="27" t="s">
        <v>274</v>
      </c>
      <c r="D18" s="25"/>
      <c r="E18" s="25"/>
      <c r="F18" s="21"/>
      <c r="G18" s="22"/>
      <c r="Q18" s="22"/>
      <c r="R18" s="22"/>
      <c r="S18" s="22"/>
      <c r="T18" s="22"/>
    </row>
    <row r="19" spans="2:20" s="19" customFormat="1" ht="15.75" outlineLevel="2" x14ac:dyDescent="0.2">
      <c r="B19" s="26"/>
      <c r="C19" s="143" t="s">
        <v>2</v>
      </c>
      <c r="D19" s="143" t="s">
        <v>132</v>
      </c>
      <c r="E19" s="143"/>
      <c r="F19" s="144" t="s">
        <v>406</v>
      </c>
      <c r="G19" s="145" t="s">
        <v>3</v>
      </c>
      <c r="H19" s="146">
        <v>85</v>
      </c>
      <c r="I19" s="20"/>
      <c r="K19" s="20"/>
      <c r="L19" s="20"/>
      <c r="Q19" s="22"/>
      <c r="R19" s="22"/>
      <c r="S19" s="22"/>
      <c r="T19" s="22"/>
    </row>
    <row r="20" spans="2:20" s="19" customFormat="1" ht="15.75" outlineLevel="2" x14ac:dyDescent="0.2">
      <c r="B20" s="26"/>
      <c r="C20" s="143" t="s">
        <v>2</v>
      </c>
      <c r="D20" s="144" t="s">
        <v>131</v>
      </c>
      <c r="E20" s="144"/>
      <c r="F20" s="144" t="s">
        <v>407</v>
      </c>
      <c r="G20" s="145" t="s">
        <v>3</v>
      </c>
      <c r="H20" s="146">
        <v>330</v>
      </c>
      <c r="I20" s="20" t="s">
        <v>4</v>
      </c>
      <c r="K20" s="20"/>
      <c r="L20" s="20"/>
      <c r="Q20" s="22"/>
      <c r="R20" s="22"/>
      <c r="S20" s="22"/>
      <c r="T20" s="22"/>
    </row>
    <row r="21" spans="2:20" s="19" customFormat="1" ht="15.75" outlineLevel="2" x14ac:dyDescent="0.2">
      <c r="B21" s="26"/>
      <c r="C21" s="143" t="s">
        <v>2</v>
      </c>
      <c r="D21" s="143" t="s">
        <v>136</v>
      </c>
      <c r="E21" s="143"/>
      <c r="F21" s="144" t="s">
        <v>408</v>
      </c>
      <c r="G21" s="145" t="s">
        <v>7</v>
      </c>
      <c r="H21" s="146">
        <v>60</v>
      </c>
      <c r="I21" s="20" t="s">
        <v>4</v>
      </c>
      <c r="K21" s="20"/>
      <c r="L21" s="20"/>
      <c r="Q21" s="22"/>
      <c r="R21" s="22"/>
      <c r="S21" s="22"/>
      <c r="T21" s="22"/>
    </row>
    <row r="22" spans="2:20" s="19" customFormat="1" ht="15.75" outlineLevel="2" x14ac:dyDescent="0.2">
      <c r="B22" s="26"/>
      <c r="C22" s="143" t="s">
        <v>2</v>
      </c>
      <c r="D22" s="143" t="s">
        <v>264</v>
      </c>
      <c r="E22" s="143"/>
      <c r="F22" s="144" t="s">
        <v>409</v>
      </c>
      <c r="G22" s="145" t="s">
        <v>3</v>
      </c>
      <c r="H22" s="146">
        <v>27</v>
      </c>
      <c r="I22" s="20"/>
      <c r="K22" s="20"/>
      <c r="L22" s="20"/>
      <c r="Q22" s="22"/>
      <c r="R22" s="22"/>
      <c r="S22" s="22"/>
      <c r="T22" s="22"/>
    </row>
    <row r="23" spans="2:20" s="20" customFormat="1" outlineLevel="2" x14ac:dyDescent="0.2">
      <c r="B23" s="26"/>
      <c r="C23" s="28"/>
      <c r="D23" s="28"/>
      <c r="E23" s="28"/>
      <c r="F23" s="29"/>
      <c r="G23" s="30"/>
      <c r="H23" s="30"/>
      <c r="Q23" s="21"/>
      <c r="R23" s="21"/>
      <c r="S23" s="21"/>
      <c r="T23" s="21"/>
    </row>
    <row r="24" spans="2:20" s="20" customFormat="1" outlineLevel="1" x14ac:dyDescent="0.2">
      <c r="B24" s="26"/>
      <c r="C24" s="31" t="s">
        <v>355</v>
      </c>
      <c r="D24" s="28"/>
      <c r="E24" s="28"/>
      <c r="F24" s="29"/>
      <c r="G24" s="30"/>
      <c r="H24" s="30"/>
      <c r="Q24" s="21"/>
      <c r="R24" s="21"/>
      <c r="S24" s="21"/>
      <c r="T24" s="21"/>
    </row>
    <row r="25" spans="2:20" s="19" customFormat="1" ht="15.75" outlineLevel="2" x14ac:dyDescent="0.2">
      <c r="B25" s="26"/>
      <c r="C25" s="143" t="s">
        <v>2</v>
      </c>
      <c r="D25" s="143" t="s">
        <v>185</v>
      </c>
      <c r="E25" s="143"/>
      <c r="F25" s="144" t="s">
        <v>410</v>
      </c>
      <c r="G25" s="145" t="s">
        <v>3</v>
      </c>
      <c r="H25" s="146">
        <v>15</v>
      </c>
      <c r="I25" s="20" t="s">
        <v>4</v>
      </c>
      <c r="K25" s="20"/>
      <c r="L25" s="20"/>
      <c r="Q25" s="22"/>
      <c r="R25" s="22"/>
      <c r="S25" s="22"/>
      <c r="T25" s="22"/>
    </row>
    <row r="26" spans="2:20" s="19" customFormat="1" ht="15.75" outlineLevel="2" x14ac:dyDescent="0.2">
      <c r="B26" s="26"/>
      <c r="C26" s="143" t="s">
        <v>2</v>
      </c>
      <c r="D26" s="143" t="s">
        <v>262</v>
      </c>
      <c r="E26" s="143"/>
      <c r="F26" s="144" t="s">
        <v>411</v>
      </c>
      <c r="G26" s="145" t="s">
        <v>10</v>
      </c>
      <c r="H26" s="147">
        <v>0.83</v>
      </c>
      <c r="I26" s="20"/>
      <c r="K26" s="20"/>
      <c r="L26" s="20"/>
      <c r="Q26" s="22"/>
      <c r="R26" s="22"/>
      <c r="S26" s="22"/>
      <c r="T26" s="22"/>
    </row>
    <row r="27" spans="2:20" s="19" customFormat="1" ht="15.75" outlineLevel="2" x14ac:dyDescent="0.2">
      <c r="B27" s="26"/>
      <c r="C27" s="143" t="s">
        <v>2</v>
      </c>
      <c r="D27" s="143" t="s">
        <v>265</v>
      </c>
      <c r="E27" s="143"/>
      <c r="F27" s="144" t="s">
        <v>412</v>
      </c>
      <c r="G27" s="145" t="s">
        <v>3</v>
      </c>
      <c r="H27" s="146">
        <v>0.6</v>
      </c>
      <c r="I27" s="20"/>
      <c r="K27" s="20"/>
      <c r="L27" s="20"/>
      <c r="Q27" s="22"/>
      <c r="R27" s="22"/>
      <c r="S27" s="22"/>
      <c r="T27" s="22"/>
    </row>
    <row r="28" spans="2:20" s="19" customFormat="1" ht="15.75" outlineLevel="2" x14ac:dyDescent="0.2">
      <c r="B28" s="26"/>
      <c r="C28" s="143" t="s">
        <v>2</v>
      </c>
      <c r="D28" s="143" t="s">
        <v>266</v>
      </c>
      <c r="E28" s="143"/>
      <c r="F28" s="144" t="s">
        <v>413</v>
      </c>
      <c r="G28" s="145" t="s">
        <v>3</v>
      </c>
      <c r="H28" s="146">
        <v>0.2</v>
      </c>
      <c r="I28" s="20"/>
      <c r="K28" s="20"/>
      <c r="L28" s="20"/>
      <c r="Q28" s="22"/>
      <c r="R28" s="22"/>
      <c r="S28" s="22"/>
      <c r="T28" s="22"/>
    </row>
    <row r="29" spans="2:20" s="19" customFormat="1" ht="15.75" outlineLevel="2" x14ac:dyDescent="0.2">
      <c r="B29" s="26"/>
      <c r="C29" s="167" t="s">
        <v>8</v>
      </c>
      <c r="D29" s="168" t="s">
        <v>271</v>
      </c>
      <c r="E29" s="168" t="s">
        <v>721</v>
      </c>
      <c r="F29" s="170" t="s">
        <v>414</v>
      </c>
      <c r="G29" s="165" t="s">
        <v>5</v>
      </c>
      <c r="H29" s="165">
        <f>H26*H25</f>
        <v>12.45</v>
      </c>
      <c r="I29" s="20"/>
      <c r="K29" s="20"/>
      <c r="L29" s="20"/>
      <c r="Q29" s="22"/>
      <c r="R29" s="22"/>
      <c r="S29" s="22"/>
      <c r="T29" s="22"/>
    </row>
    <row r="30" spans="2:20" s="19" customFormat="1" ht="15.75" outlineLevel="2" x14ac:dyDescent="0.2">
      <c r="B30" s="26"/>
      <c r="C30" s="167" t="s">
        <v>8</v>
      </c>
      <c r="D30" s="168" t="s">
        <v>275</v>
      </c>
      <c r="E30" s="168" t="s">
        <v>724</v>
      </c>
      <c r="F30" s="170" t="s">
        <v>415</v>
      </c>
      <c r="G30" s="165"/>
      <c r="H30" s="169">
        <f>H25*H26/H46</f>
        <v>0.86159169550173009</v>
      </c>
      <c r="I30" s="20"/>
      <c r="K30" s="20"/>
      <c r="L30" s="20"/>
      <c r="Q30" s="22"/>
      <c r="R30" s="22"/>
      <c r="S30" s="22"/>
      <c r="T30" s="22"/>
    </row>
    <row r="31" spans="2:20" s="20" customFormat="1" outlineLevel="2" x14ac:dyDescent="0.2">
      <c r="B31" s="26"/>
      <c r="C31" s="32"/>
      <c r="D31" s="28"/>
      <c r="E31" s="28"/>
      <c r="F31" s="29"/>
      <c r="G31" s="30"/>
      <c r="H31" s="18"/>
      <c r="Q31" s="21"/>
      <c r="R31" s="21"/>
      <c r="S31" s="21"/>
      <c r="T31" s="21"/>
    </row>
    <row r="32" spans="2:20" s="20" customFormat="1" outlineLevel="1" x14ac:dyDescent="0.2">
      <c r="B32" s="26"/>
      <c r="C32" s="31" t="s">
        <v>849</v>
      </c>
      <c r="D32" s="28"/>
      <c r="E32" s="28"/>
      <c r="F32" s="29"/>
      <c r="G32" s="30"/>
      <c r="H32" s="30"/>
      <c r="Q32" s="21"/>
      <c r="R32" s="21"/>
      <c r="S32" s="21"/>
      <c r="T32" s="21"/>
    </row>
    <row r="33" spans="2:20" s="19" customFormat="1" ht="15.75" outlineLevel="2" x14ac:dyDescent="0.2">
      <c r="B33" s="26"/>
      <c r="C33" s="143" t="s">
        <v>2</v>
      </c>
      <c r="D33" s="143" t="s">
        <v>184</v>
      </c>
      <c r="E33" s="143"/>
      <c r="F33" s="144" t="s">
        <v>416</v>
      </c>
      <c r="G33" s="145" t="s">
        <v>3</v>
      </c>
      <c r="H33" s="146">
        <v>5</v>
      </c>
      <c r="I33" s="20"/>
      <c r="K33" s="20"/>
      <c r="L33" s="20"/>
      <c r="Q33" s="22"/>
      <c r="R33" s="22"/>
      <c r="S33" s="22"/>
      <c r="T33" s="22"/>
    </row>
    <row r="34" spans="2:20" s="19" customFormat="1" ht="15.75" outlineLevel="2" x14ac:dyDescent="0.2">
      <c r="B34" s="26"/>
      <c r="C34" s="143" t="s">
        <v>2</v>
      </c>
      <c r="D34" s="143" t="s">
        <v>263</v>
      </c>
      <c r="E34" s="143"/>
      <c r="F34" s="144" t="s">
        <v>417</v>
      </c>
      <c r="G34" s="145" t="s">
        <v>10</v>
      </c>
      <c r="H34" s="146">
        <v>0.4</v>
      </c>
      <c r="I34" s="20"/>
      <c r="K34" s="20"/>
      <c r="L34" s="20"/>
      <c r="Q34" s="22"/>
      <c r="R34" s="22"/>
      <c r="S34" s="22"/>
      <c r="T34" s="22"/>
    </row>
    <row r="35" spans="2:20" s="19" customFormat="1" ht="15.75" outlineLevel="2" x14ac:dyDescent="0.2">
      <c r="B35" s="26"/>
      <c r="C35" s="143" t="s">
        <v>2</v>
      </c>
      <c r="D35" s="143" t="s">
        <v>267</v>
      </c>
      <c r="E35" s="143"/>
      <c r="F35" s="144" t="s">
        <v>418</v>
      </c>
      <c r="G35" s="145" t="s">
        <v>3</v>
      </c>
      <c r="H35" s="146">
        <v>0.2</v>
      </c>
      <c r="I35" s="20"/>
      <c r="K35" s="20"/>
      <c r="L35" s="20"/>
      <c r="Q35" s="22"/>
      <c r="R35" s="22"/>
      <c r="S35" s="22"/>
      <c r="T35" s="22"/>
    </row>
    <row r="36" spans="2:20" s="19" customFormat="1" ht="15.75" outlineLevel="2" x14ac:dyDescent="0.2">
      <c r="B36" s="26"/>
      <c r="C36" s="143" t="s">
        <v>2</v>
      </c>
      <c r="D36" s="143" t="s">
        <v>268</v>
      </c>
      <c r="E36" s="143"/>
      <c r="F36" s="144" t="s">
        <v>419</v>
      </c>
      <c r="G36" s="145" t="s">
        <v>3</v>
      </c>
      <c r="H36" s="146">
        <v>0.2</v>
      </c>
      <c r="I36" s="20"/>
      <c r="K36" s="20"/>
      <c r="L36" s="20"/>
      <c r="Q36" s="22"/>
      <c r="R36" s="22"/>
      <c r="S36" s="22"/>
      <c r="T36" s="22"/>
    </row>
    <row r="37" spans="2:20" s="19" customFormat="1" ht="15.75" outlineLevel="2" x14ac:dyDescent="0.2">
      <c r="B37" s="26"/>
      <c r="C37" s="167" t="s">
        <v>8</v>
      </c>
      <c r="D37" s="168" t="s">
        <v>270</v>
      </c>
      <c r="E37" s="168" t="s">
        <v>722</v>
      </c>
      <c r="F37" s="170" t="s">
        <v>420</v>
      </c>
      <c r="G37" s="165" t="s">
        <v>5</v>
      </c>
      <c r="H37" s="165">
        <f>H34*H33</f>
        <v>2</v>
      </c>
      <c r="I37" s="20"/>
      <c r="K37" s="20"/>
      <c r="L37" s="20"/>
      <c r="Q37" s="22"/>
      <c r="R37" s="22"/>
      <c r="S37" s="22"/>
      <c r="T37" s="22"/>
    </row>
    <row r="38" spans="2:20" s="19" customFormat="1" ht="15.75" outlineLevel="2" x14ac:dyDescent="0.2">
      <c r="B38" s="26"/>
      <c r="C38" s="167" t="s">
        <v>8</v>
      </c>
      <c r="D38" s="168" t="s">
        <v>276</v>
      </c>
      <c r="E38" s="168" t="s">
        <v>725</v>
      </c>
      <c r="F38" s="170" t="s">
        <v>421</v>
      </c>
      <c r="G38" s="165"/>
      <c r="H38" s="169">
        <f>H33*H34/H46</f>
        <v>0.13840830449826991</v>
      </c>
      <c r="I38" s="20"/>
      <c r="K38" s="20"/>
      <c r="L38" s="20"/>
      <c r="Q38" s="22"/>
      <c r="R38" s="22"/>
      <c r="S38" s="22"/>
      <c r="T38" s="22"/>
    </row>
    <row r="39" spans="2:20" s="20" customFormat="1" outlineLevel="2" x14ac:dyDescent="0.2">
      <c r="B39" s="26"/>
      <c r="C39" s="32"/>
      <c r="D39" s="28"/>
      <c r="E39" s="28"/>
      <c r="F39" s="29"/>
      <c r="G39" s="30"/>
      <c r="H39" s="18"/>
      <c r="Q39" s="21"/>
      <c r="R39" s="21"/>
      <c r="S39" s="21"/>
      <c r="T39" s="21"/>
    </row>
    <row r="40" spans="2:20" s="20" customFormat="1" outlineLevel="1" x14ac:dyDescent="0.2">
      <c r="B40" s="26"/>
      <c r="C40" s="31" t="s">
        <v>278</v>
      </c>
      <c r="D40" s="28"/>
      <c r="E40" s="28"/>
      <c r="F40" s="29"/>
      <c r="G40" s="30"/>
      <c r="H40" s="30"/>
      <c r="Q40" s="21"/>
      <c r="R40" s="21"/>
      <c r="S40" s="21"/>
      <c r="T40" s="21"/>
    </row>
    <row r="41" spans="2:20" s="19" customFormat="1" ht="15.75" outlineLevel="2" x14ac:dyDescent="0.2">
      <c r="B41" s="26"/>
      <c r="C41" s="143" t="s">
        <v>2</v>
      </c>
      <c r="D41" s="143" t="s">
        <v>139</v>
      </c>
      <c r="E41" s="143"/>
      <c r="F41" s="144" t="s">
        <v>145</v>
      </c>
      <c r="G41" s="145" t="s">
        <v>3</v>
      </c>
      <c r="H41" s="146">
        <v>14</v>
      </c>
      <c r="K41" s="20"/>
      <c r="L41" s="20"/>
    </row>
    <row r="42" spans="2:20" s="19" customFormat="1" ht="15.75" outlineLevel="2" x14ac:dyDescent="0.2">
      <c r="B42" s="26"/>
      <c r="C42" s="143" t="s">
        <v>2</v>
      </c>
      <c r="D42" s="143" t="s">
        <v>217</v>
      </c>
      <c r="E42" s="143"/>
      <c r="F42" s="144" t="s">
        <v>422</v>
      </c>
      <c r="G42" s="145" t="s">
        <v>3</v>
      </c>
      <c r="H42" s="146">
        <v>0.6</v>
      </c>
      <c r="I42" s="20" t="s">
        <v>4</v>
      </c>
      <c r="K42" s="20"/>
      <c r="L42" s="20"/>
      <c r="Q42" s="22"/>
      <c r="R42" s="22"/>
      <c r="S42" s="22"/>
      <c r="T42" s="22"/>
    </row>
    <row r="43" spans="2:20" s="20" customFormat="1" outlineLevel="2" x14ac:dyDescent="0.2">
      <c r="B43" s="26"/>
      <c r="C43" s="28"/>
      <c r="D43" s="28"/>
      <c r="E43" s="28"/>
      <c r="F43" s="29"/>
      <c r="G43" s="30"/>
      <c r="H43" s="30"/>
      <c r="Q43" s="21"/>
      <c r="R43" s="21"/>
      <c r="S43" s="21"/>
      <c r="T43" s="21"/>
    </row>
    <row r="44" spans="2:20" s="20" customFormat="1" outlineLevel="1" x14ac:dyDescent="0.2">
      <c r="B44" s="26"/>
      <c r="C44" s="31" t="s">
        <v>272</v>
      </c>
      <c r="D44" s="28"/>
      <c r="E44" s="28"/>
      <c r="F44" s="29"/>
      <c r="G44" s="30"/>
      <c r="H44" s="30"/>
      <c r="Q44" s="21"/>
      <c r="R44" s="21"/>
      <c r="S44" s="21"/>
      <c r="T44" s="21"/>
    </row>
    <row r="45" spans="2:20" s="19" customFormat="1" ht="13.5" outlineLevel="2" x14ac:dyDescent="0.2">
      <c r="B45" s="26"/>
      <c r="C45" s="143" t="s">
        <v>2</v>
      </c>
      <c r="D45" s="143" t="s">
        <v>6</v>
      </c>
      <c r="E45" s="143"/>
      <c r="F45" s="148" t="s">
        <v>135</v>
      </c>
      <c r="G45" s="145"/>
      <c r="H45" s="146">
        <v>0.83</v>
      </c>
      <c r="I45" s="20" t="s">
        <v>4</v>
      </c>
      <c r="K45" s="20"/>
      <c r="L45" s="20"/>
    </row>
    <row r="46" spans="2:20" s="19" customFormat="1" ht="15.75" outlineLevel="2" x14ac:dyDescent="0.2">
      <c r="B46" s="26"/>
      <c r="C46" s="167" t="s">
        <v>8</v>
      </c>
      <c r="D46" s="168" t="s">
        <v>133</v>
      </c>
      <c r="E46" s="168" t="s">
        <v>723</v>
      </c>
      <c r="F46" s="170" t="s">
        <v>423</v>
      </c>
      <c r="G46" s="165" t="s">
        <v>5</v>
      </c>
      <c r="H46" s="169">
        <f>(H25*H26)+(H33*H34)</f>
        <v>14.45</v>
      </c>
      <c r="I46" s="20"/>
      <c r="K46" s="20"/>
      <c r="L46" s="20"/>
      <c r="Q46" s="22"/>
      <c r="R46" s="22"/>
      <c r="S46" s="22"/>
      <c r="T46" s="22"/>
    </row>
    <row r="47" spans="2:20" s="19" customFormat="1" ht="15.75" outlineLevel="2" x14ac:dyDescent="0.2">
      <c r="B47" s="26"/>
      <c r="C47" s="143" t="s">
        <v>2</v>
      </c>
      <c r="D47" s="143" t="s">
        <v>269</v>
      </c>
      <c r="E47" s="143"/>
      <c r="F47" s="144" t="s">
        <v>424</v>
      </c>
      <c r="G47" s="145" t="s">
        <v>5</v>
      </c>
      <c r="H47" s="149">
        <v>17</v>
      </c>
      <c r="I47" s="33" t="str">
        <f>IF(H47&lt;H46,"Caution! PoutMax should be higher than PoutNom","")</f>
        <v/>
      </c>
      <c r="K47" s="20"/>
      <c r="L47" s="20"/>
      <c r="Q47" s="22"/>
      <c r="R47" s="22"/>
      <c r="S47" s="22"/>
      <c r="T47" s="22"/>
    </row>
    <row r="48" spans="2:20" s="19" customFormat="1" ht="15.75" outlineLevel="2" x14ac:dyDescent="0.2">
      <c r="B48" s="26"/>
      <c r="C48" s="167" t="s">
        <v>8</v>
      </c>
      <c r="D48" s="170" t="s">
        <v>273</v>
      </c>
      <c r="E48" s="170" t="s">
        <v>726</v>
      </c>
      <c r="F48" s="168" t="s">
        <v>277</v>
      </c>
      <c r="G48" s="165" t="s">
        <v>5</v>
      </c>
      <c r="H48" s="169">
        <f>H47/H45</f>
        <v>20.481927710843376</v>
      </c>
      <c r="I48" s="20" t="s">
        <v>4</v>
      </c>
      <c r="K48" s="25"/>
      <c r="L48" s="20"/>
    </row>
    <row r="49" spans="2:20" s="19" customFormat="1" ht="15.75" outlineLevel="2" x14ac:dyDescent="0.2">
      <c r="B49" s="26"/>
      <c r="C49" s="143" t="s">
        <v>2</v>
      </c>
      <c r="D49" s="143" t="s">
        <v>134</v>
      </c>
      <c r="E49" s="143"/>
      <c r="F49" s="144" t="s">
        <v>425</v>
      </c>
      <c r="G49" s="145" t="s">
        <v>5</v>
      </c>
      <c r="H49" s="146">
        <v>2</v>
      </c>
      <c r="I49" s="20"/>
      <c r="K49" s="20"/>
      <c r="L49" s="20"/>
      <c r="Q49" s="22"/>
      <c r="R49" s="22"/>
      <c r="S49" s="22"/>
      <c r="T49" s="22"/>
    </row>
    <row r="50" spans="2:20" s="20" customFormat="1" outlineLevel="2" x14ac:dyDescent="0.2">
      <c r="B50" s="26"/>
      <c r="C50" s="28"/>
      <c r="D50" s="28"/>
      <c r="E50" s="28"/>
      <c r="F50" s="29"/>
      <c r="G50" s="30"/>
      <c r="H50" s="30"/>
      <c r="Q50" s="21"/>
      <c r="R50" s="21"/>
      <c r="S50" s="21"/>
      <c r="T50" s="21"/>
    </row>
    <row r="51" spans="2:20" s="20" customFormat="1" outlineLevel="1" x14ac:dyDescent="0.2">
      <c r="B51" s="26"/>
      <c r="C51" s="34" t="s">
        <v>556</v>
      </c>
      <c r="D51" s="28"/>
      <c r="E51" s="28"/>
      <c r="F51" s="29"/>
      <c r="G51" s="30"/>
      <c r="H51" s="30"/>
      <c r="Q51" s="21"/>
      <c r="R51" s="21"/>
      <c r="S51" s="21"/>
      <c r="T51" s="21"/>
    </row>
    <row r="52" spans="2:20" s="19" customFormat="1" ht="14.25" outlineLevel="2" x14ac:dyDescent="0.2">
      <c r="B52" s="26"/>
      <c r="C52" s="168"/>
      <c r="D52" s="170" t="s">
        <v>858</v>
      </c>
      <c r="E52" s="170"/>
      <c r="F52" s="170"/>
      <c r="G52" s="165"/>
      <c r="H52" s="165" t="str">
        <f>D5</f>
        <v>ICE5AR4780BZS</v>
      </c>
      <c r="I52" s="20" t="s">
        <v>4</v>
      </c>
      <c r="K52" s="20"/>
      <c r="L52" s="20"/>
      <c r="Q52" s="22"/>
      <c r="R52" s="22"/>
      <c r="S52" s="22"/>
      <c r="T52" s="22"/>
    </row>
    <row r="53" spans="2:20" s="19" customFormat="1" ht="15.75" outlineLevel="2" x14ac:dyDescent="0.2">
      <c r="B53" s="26"/>
      <c r="C53" s="143" t="s">
        <v>2</v>
      </c>
      <c r="D53" s="143" t="s">
        <v>216</v>
      </c>
      <c r="E53" s="143"/>
      <c r="F53" s="144" t="s">
        <v>426</v>
      </c>
      <c r="G53" s="145" t="s">
        <v>7</v>
      </c>
      <c r="H53" s="146">
        <v>100000</v>
      </c>
      <c r="I53" s="20" t="s">
        <v>4</v>
      </c>
      <c r="K53" s="20"/>
      <c r="L53" s="20"/>
      <c r="Q53" s="22"/>
      <c r="R53" s="22"/>
      <c r="S53" s="22"/>
      <c r="T53" s="22"/>
    </row>
    <row r="54" spans="2:20" s="19" customFormat="1" ht="15.75" outlineLevel="2" x14ac:dyDescent="0.2">
      <c r="B54" s="26"/>
      <c r="C54" s="143" t="s">
        <v>2</v>
      </c>
      <c r="D54" s="143" t="s">
        <v>213</v>
      </c>
      <c r="E54" s="143"/>
      <c r="F54" s="144" t="s">
        <v>427</v>
      </c>
      <c r="G54" s="145" t="s">
        <v>3</v>
      </c>
      <c r="H54" s="146">
        <v>700</v>
      </c>
      <c r="K54" s="20"/>
      <c r="L54" s="20"/>
    </row>
    <row r="55" spans="2:20" s="19" customFormat="1" ht="15.75" outlineLevel="2" x14ac:dyDescent="0.2">
      <c r="B55" s="26"/>
      <c r="C55" s="143" t="s">
        <v>2</v>
      </c>
      <c r="D55" s="143" t="s">
        <v>363</v>
      </c>
      <c r="E55" s="143"/>
      <c r="F55" s="144" t="s">
        <v>428</v>
      </c>
      <c r="G55" s="145" t="s">
        <v>138</v>
      </c>
      <c r="H55" s="146">
        <v>50</v>
      </c>
      <c r="K55" s="20"/>
      <c r="L55" s="20"/>
    </row>
    <row r="56" spans="2:20" s="20" customFormat="1" outlineLevel="2" x14ac:dyDescent="0.2">
      <c r="B56" s="26"/>
      <c r="C56" s="28"/>
      <c r="D56" s="28"/>
      <c r="E56" s="28"/>
      <c r="F56" s="29"/>
      <c r="G56" s="30"/>
      <c r="H56" s="30"/>
    </row>
    <row r="57" spans="2:20" s="19" customFormat="1" x14ac:dyDescent="0.2">
      <c r="B57" s="26" t="s">
        <v>372</v>
      </c>
      <c r="F57" s="23"/>
      <c r="G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2:20" s="20" customFormat="1" outlineLevel="1" x14ac:dyDescent="0.2">
      <c r="B58" s="26"/>
      <c r="C58" s="34" t="s">
        <v>279</v>
      </c>
      <c r="D58" s="28"/>
      <c r="E58" s="28"/>
      <c r="F58" s="29"/>
      <c r="G58" s="30"/>
      <c r="H58" s="30"/>
      <c r="Q58" s="21"/>
      <c r="R58" s="21"/>
      <c r="S58" s="21"/>
      <c r="T58" s="21"/>
    </row>
    <row r="59" spans="2:20" s="19" customFormat="1" outlineLevel="2" x14ac:dyDescent="0.2">
      <c r="B59" s="26"/>
      <c r="C59" s="143" t="s">
        <v>2</v>
      </c>
      <c r="D59" s="143" t="s">
        <v>680</v>
      </c>
      <c r="E59" s="143"/>
      <c r="F59" s="144" t="s">
        <v>681</v>
      </c>
      <c r="G59" s="145"/>
      <c r="H59" s="146">
        <v>0.6</v>
      </c>
      <c r="J59" s="20"/>
      <c r="K59" s="20"/>
      <c r="P59" s="22"/>
      <c r="Q59" s="22"/>
      <c r="R59" s="22"/>
      <c r="S59" s="22"/>
    </row>
    <row r="60" spans="2:20" s="19" customFormat="1" ht="15.75" outlineLevel="2" x14ac:dyDescent="0.2">
      <c r="B60" s="26"/>
      <c r="C60" s="167" t="s">
        <v>8</v>
      </c>
      <c r="D60" s="170" t="s">
        <v>285</v>
      </c>
      <c r="E60" s="170" t="s">
        <v>727</v>
      </c>
      <c r="F60" s="168" t="s">
        <v>292</v>
      </c>
      <c r="G60" s="165" t="s">
        <v>10</v>
      </c>
      <c r="H60" s="171">
        <f>H48/H19/H59</f>
        <v>0.4016064257028113</v>
      </c>
      <c r="I60" s="35"/>
      <c r="K60" s="25"/>
      <c r="L60" s="20"/>
    </row>
    <row r="61" spans="2:20" s="19" customFormat="1" ht="15.75" outlineLevel="2" x14ac:dyDescent="0.2">
      <c r="B61" s="26"/>
      <c r="C61" s="167" t="s">
        <v>8</v>
      </c>
      <c r="D61" s="170" t="s">
        <v>429</v>
      </c>
      <c r="E61" s="170" t="s">
        <v>728</v>
      </c>
      <c r="F61" s="168" t="s">
        <v>280</v>
      </c>
      <c r="G61" s="165" t="s">
        <v>3</v>
      </c>
      <c r="H61" s="169">
        <f>H$20*SQRT(2)</f>
        <v>466.69047558312138</v>
      </c>
      <c r="I61" s="20"/>
      <c r="K61" s="25"/>
      <c r="L61" s="20"/>
    </row>
    <row r="62" spans="2:20" s="20" customFormat="1" outlineLevel="2" x14ac:dyDescent="0.2">
      <c r="B62" s="26"/>
      <c r="C62" s="32"/>
      <c r="D62" s="29"/>
      <c r="E62" s="29"/>
      <c r="F62" s="28"/>
      <c r="G62" s="30"/>
      <c r="H62" s="18"/>
      <c r="K62" s="25"/>
    </row>
    <row r="63" spans="2:20" s="20" customFormat="1" outlineLevel="1" x14ac:dyDescent="0.2">
      <c r="B63" s="26"/>
      <c r="C63" s="34" t="s">
        <v>281</v>
      </c>
      <c r="D63" s="28"/>
      <c r="E63" s="28"/>
      <c r="F63" s="29"/>
      <c r="G63" s="30"/>
      <c r="H63" s="30"/>
      <c r="Q63" s="21"/>
      <c r="R63" s="21"/>
      <c r="S63" s="21"/>
      <c r="T63" s="21"/>
    </row>
    <row r="64" spans="2:20" s="19" customFormat="1" ht="15.75" outlineLevel="2" x14ac:dyDescent="0.2">
      <c r="B64" s="26"/>
      <c r="C64" s="167" t="s">
        <v>8</v>
      </c>
      <c r="D64" s="170" t="s">
        <v>430</v>
      </c>
      <c r="E64" s="170" t="s">
        <v>729</v>
      </c>
      <c r="F64" s="168" t="s">
        <v>282</v>
      </c>
      <c r="G64" s="165" t="s">
        <v>3</v>
      </c>
      <c r="H64" s="169">
        <f>H19*SQRT(2)</f>
        <v>120.20815280171308</v>
      </c>
    </row>
    <row r="65" spans="2:14" s="19" customFormat="1" ht="15.75" outlineLevel="2" x14ac:dyDescent="0.2">
      <c r="B65" s="26"/>
      <c r="C65" s="167" t="s">
        <v>8</v>
      </c>
      <c r="D65" s="170" t="s">
        <v>286</v>
      </c>
      <c r="E65" s="170" t="s">
        <v>730</v>
      </c>
      <c r="F65" s="168" t="s">
        <v>283</v>
      </c>
      <c r="G65" s="165" t="s">
        <v>3</v>
      </c>
      <c r="H65" s="169">
        <f>(H64-H22)</f>
        <v>93.208152801713084</v>
      </c>
    </row>
    <row r="66" spans="2:14" s="19" customFormat="1" ht="15.75" outlineLevel="2" x14ac:dyDescent="0.2">
      <c r="B66" s="26"/>
      <c r="C66" s="167" t="s">
        <v>8</v>
      </c>
      <c r="D66" s="170" t="s">
        <v>287</v>
      </c>
      <c r="E66" s="170" t="s">
        <v>731</v>
      </c>
      <c r="F66" s="168" t="s">
        <v>113</v>
      </c>
      <c r="G66" s="165" t="s">
        <v>11</v>
      </c>
      <c r="H66" s="169">
        <f>(1000/(4*H21))*(1+(ASIN((H64-H22)/H64)*180/PI()/90))</f>
        <v>6.5203874714973011</v>
      </c>
      <c r="I66" s="20" t="s">
        <v>4</v>
      </c>
      <c r="K66" s="25"/>
      <c r="L66" s="20"/>
    </row>
    <row r="67" spans="2:14" s="19" customFormat="1" ht="15.75" outlineLevel="2" x14ac:dyDescent="0.2">
      <c r="B67" s="26"/>
      <c r="C67" s="167" t="s">
        <v>8</v>
      </c>
      <c r="D67" s="170" t="s">
        <v>288</v>
      </c>
      <c r="E67" s="170" t="s">
        <v>732</v>
      </c>
      <c r="F67" s="168" t="s">
        <v>140</v>
      </c>
      <c r="G67" s="165" t="s">
        <v>12</v>
      </c>
      <c r="H67" s="169">
        <f>H48*H66/1000</f>
        <v>0.13355010483789656</v>
      </c>
      <c r="I67" s="20"/>
      <c r="K67" s="25"/>
      <c r="L67" s="20"/>
    </row>
    <row r="68" spans="2:14" s="19" customFormat="1" ht="15.75" outlineLevel="2" x14ac:dyDescent="0.2">
      <c r="B68" s="26"/>
      <c r="C68" s="167" t="s">
        <v>8</v>
      </c>
      <c r="D68" s="170" t="s">
        <v>289</v>
      </c>
      <c r="E68" s="170" t="s">
        <v>733</v>
      </c>
      <c r="F68" s="168" t="s">
        <v>284</v>
      </c>
      <c r="G68" s="165" t="s">
        <v>9</v>
      </c>
      <c r="H68" s="169">
        <f>(2*H67/(H64^2-(H64-H22)^2))*1000000</f>
        <v>46.353535782525</v>
      </c>
      <c r="K68" s="25"/>
      <c r="L68" s="20"/>
    </row>
    <row r="69" spans="2:14" s="19" customFormat="1" ht="15.75" outlineLevel="2" x14ac:dyDescent="0.2">
      <c r="B69" s="26"/>
      <c r="C69" s="143" t="s">
        <v>2</v>
      </c>
      <c r="D69" s="143" t="s">
        <v>647</v>
      </c>
      <c r="E69" s="143"/>
      <c r="F69" s="143" t="s">
        <v>431</v>
      </c>
      <c r="G69" s="145" t="s">
        <v>9</v>
      </c>
      <c r="H69" s="150">
        <v>47</v>
      </c>
      <c r="K69" s="25"/>
      <c r="L69" s="20"/>
    </row>
    <row r="70" spans="2:14" s="19" customFormat="1" ht="15.75" outlineLevel="2" x14ac:dyDescent="0.2">
      <c r="B70" s="26"/>
      <c r="C70" s="167" t="s">
        <v>8</v>
      </c>
      <c r="D70" s="170" t="s">
        <v>290</v>
      </c>
      <c r="E70" s="170" t="s">
        <v>734</v>
      </c>
      <c r="F70" s="168" t="s">
        <v>291</v>
      </c>
      <c r="G70" s="165" t="s">
        <v>3</v>
      </c>
      <c r="H70" s="169">
        <f>SQRT(H64^2-2*H67/(H69*0.000001))</f>
        <v>93.632349193046835</v>
      </c>
      <c r="I70" s="36"/>
      <c r="K70" s="25"/>
      <c r="L70" s="20"/>
    </row>
    <row r="71" spans="2:14" s="20" customFormat="1" outlineLevel="2" x14ac:dyDescent="0.2">
      <c r="B71" s="26"/>
      <c r="C71" s="32"/>
      <c r="D71" s="29"/>
      <c r="E71" s="29"/>
      <c r="F71" s="28"/>
      <c r="G71" s="30"/>
      <c r="H71" s="18"/>
      <c r="I71" s="36"/>
      <c r="K71" s="25"/>
    </row>
    <row r="72" spans="2:14" s="19" customFormat="1" x14ac:dyDescent="0.2">
      <c r="B72" s="37" t="s">
        <v>379</v>
      </c>
      <c r="F72" s="22"/>
    </row>
    <row r="73" spans="2:14" s="19" customFormat="1" ht="13.5" outlineLevel="1" thickBot="1" x14ac:dyDescent="0.25">
      <c r="B73" s="26"/>
      <c r="C73" s="27" t="s">
        <v>377</v>
      </c>
      <c r="G73" s="23"/>
      <c r="H73" s="38"/>
      <c r="M73" s="39"/>
      <c r="N73" s="39"/>
    </row>
    <row r="74" spans="2:14" s="19" customFormat="1" ht="165.75" customHeight="1" outlineLevel="2" thickBot="1" x14ac:dyDescent="0.25">
      <c r="B74" s="26"/>
      <c r="C74" s="196"/>
      <c r="D74" s="197"/>
      <c r="E74" s="197"/>
      <c r="F74" s="197"/>
      <c r="G74" s="197"/>
      <c r="H74" s="198"/>
      <c r="I74" s="20"/>
      <c r="K74" s="20"/>
      <c r="L74" s="20"/>
    </row>
    <row r="75" spans="2:14" s="19" customFormat="1" ht="216.75" customHeight="1" outlineLevel="2" thickBot="1" x14ac:dyDescent="0.25">
      <c r="B75" s="26"/>
      <c r="C75" s="199"/>
      <c r="D75" s="200"/>
      <c r="E75" s="200"/>
      <c r="F75" s="200"/>
      <c r="G75" s="200"/>
      <c r="H75" s="201"/>
    </row>
    <row r="76" spans="2:14" s="20" customFormat="1" outlineLevel="2" x14ac:dyDescent="0.2">
      <c r="B76" s="26"/>
      <c r="C76" s="29"/>
      <c r="D76" s="28"/>
      <c r="E76" s="28"/>
      <c r="F76" s="28"/>
      <c r="G76" s="28"/>
      <c r="H76" s="28"/>
    </row>
    <row r="77" spans="2:14" s="19" customFormat="1" outlineLevel="1" x14ac:dyDescent="0.2">
      <c r="B77" s="26"/>
      <c r="C77" s="27" t="s">
        <v>373</v>
      </c>
      <c r="G77" s="23"/>
      <c r="H77" s="38"/>
      <c r="M77" s="39"/>
      <c r="N77" s="39"/>
    </row>
    <row r="78" spans="2:14" s="19" customFormat="1" ht="15.75" outlineLevel="2" x14ac:dyDescent="0.2">
      <c r="B78" s="26"/>
      <c r="C78" s="143" t="s">
        <v>2</v>
      </c>
      <c r="D78" s="143" t="s">
        <v>137</v>
      </c>
      <c r="E78" s="143"/>
      <c r="F78" s="144" t="s">
        <v>432</v>
      </c>
      <c r="G78" s="145" t="s">
        <v>3</v>
      </c>
      <c r="H78" s="146">
        <v>97.5</v>
      </c>
      <c r="I78" s="20"/>
      <c r="K78" s="20"/>
      <c r="L78" s="20"/>
    </row>
    <row r="79" spans="2:14" s="19" customFormat="1" ht="15.75" outlineLevel="2" x14ac:dyDescent="0.2">
      <c r="B79" s="26"/>
      <c r="C79" s="167" t="s">
        <v>8</v>
      </c>
      <c r="D79" s="170" t="s">
        <v>293</v>
      </c>
      <c r="E79" s="170" t="s">
        <v>735</v>
      </c>
      <c r="F79" s="168" t="s">
        <v>157</v>
      </c>
      <c r="G79" s="165"/>
      <c r="H79" s="169">
        <f>H78/(H78+H70)</f>
        <v>0.51011772947719802</v>
      </c>
      <c r="I79" s="20"/>
      <c r="K79" s="25"/>
      <c r="L79" s="20"/>
    </row>
    <row r="80" spans="2:14" s="19" customFormat="1" ht="15.75" outlineLevel="2" x14ac:dyDescent="0.2">
      <c r="B80" s="26"/>
      <c r="C80" s="151" t="s">
        <v>2</v>
      </c>
      <c r="D80" s="151" t="s">
        <v>294</v>
      </c>
      <c r="E80" s="151"/>
      <c r="F80" s="151" t="s">
        <v>433</v>
      </c>
      <c r="G80" s="152"/>
      <c r="H80" s="153">
        <v>1</v>
      </c>
      <c r="I80" s="40"/>
    </row>
    <row r="81" spans="2:35" s="19" customFormat="1" ht="15.75" outlineLevel="2" x14ac:dyDescent="0.2">
      <c r="B81" s="41"/>
      <c r="C81" s="167" t="s">
        <v>8</v>
      </c>
      <c r="D81" s="170" t="s">
        <v>295</v>
      </c>
      <c r="E81" s="170" t="s">
        <v>736</v>
      </c>
      <c r="F81" s="168" t="s">
        <v>114</v>
      </c>
      <c r="G81" s="165" t="s">
        <v>13</v>
      </c>
      <c r="H81" s="178">
        <f>(H70*H79)^2/(2*H48*H53*H80)</f>
        <v>5.5691876429806797E-4</v>
      </c>
    </row>
    <row r="82" spans="2:35" s="19" customFormat="1" ht="15.75" outlineLevel="2" x14ac:dyDescent="0.2">
      <c r="B82" s="41"/>
      <c r="C82" s="167" t="s">
        <v>8</v>
      </c>
      <c r="D82" s="170" t="s">
        <v>321</v>
      </c>
      <c r="E82" s="170" t="s">
        <v>737</v>
      </c>
      <c r="F82" s="168" t="s">
        <v>141</v>
      </c>
      <c r="G82" s="165" t="s">
        <v>10</v>
      </c>
      <c r="H82" s="169">
        <f>H48/(H70*H79)</f>
        <v>0.42881946558376105</v>
      </c>
    </row>
    <row r="83" spans="2:35" s="19" customFormat="1" outlineLevel="2" x14ac:dyDescent="0.2">
      <c r="B83" s="26"/>
      <c r="C83" s="167" t="s">
        <v>8</v>
      </c>
      <c r="D83" s="170" t="s">
        <v>296</v>
      </c>
      <c r="E83" s="170" t="s">
        <v>738</v>
      </c>
      <c r="F83" s="168" t="s">
        <v>142</v>
      </c>
      <c r="G83" s="165" t="s">
        <v>10</v>
      </c>
      <c r="H83" s="169">
        <f>H70*H79/(H81*H53)</f>
        <v>0.85763893116752188</v>
      </c>
      <c r="K83" s="20"/>
      <c r="L83" s="20"/>
    </row>
    <row r="84" spans="2:35" s="19" customFormat="1" ht="15.75" outlineLevel="2" x14ac:dyDescent="0.2">
      <c r="B84" s="26"/>
      <c r="C84" s="167" t="s">
        <v>8</v>
      </c>
      <c r="D84" s="170" t="s">
        <v>297</v>
      </c>
      <c r="E84" s="170" t="s">
        <v>739</v>
      </c>
      <c r="F84" s="168" t="s">
        <v>315</v>
      </c>
      <c r="G84" s="165" t="s">
        <v>10</v>
      </c>
      <c r="H84" s="169">
        <f>H82+(H83/2)</f>
        <v>0.85763893116752199</v>
      </c>
      <c r="K84" s="20"/>
      <c r="L84" s="20"/>
    </row>
    <row r="85" spans="2:35" s="19" customFormat="1" ht="15.75" outlineLevel="2" x14ac:dyDescent="0.2">
      <c r="B85" s="26"/>
      <c r="C85" s="167" t="s">
        <v>8</v>
      </c>
      <c r="D85" s="170" t="s">
        <v>298</v>
      </c>
      <c r="E85" s="170" t="s">
        <v>740</v>
      </c>
      <c r="F85" s="168" t="s">
        <v>143</v>
      </c>
      <c r="G85" s="165" t="s">
        <v>10</v>
      </c>
      <c r="H85" s="169">
        <f>H84-H83</f>
        <v>0</v>
      </c>
      <c r="K85" s="20"/>
      <c r="L85" s="20"/>
    </row>
    <row r="86" spans="2:35" s="19" customFormat="1" ht="15.75" outlineLevel="2" x14ac:dyDescent="0.2">
      <c r="B86" s="26"/>
      <c r="C86" s="167" t="s">
        <v>8</v>
      </c>
      <c r="D86" s="170" t="s">
        <v>299</v>
      </c>
      <c r="E86" s="170" t="s">
        <v>741</v>
      </c>
      <c r="F86" s="168" t="s">
        <v>316</v>
      </c>
      <c r="G86" s="165" t="s">
        <v>10</v>
      </c>
      <c r="H86" s="171">
        <f>SQRT((3*H82^2+(H83/2)^2)*H79/3)</f>
        <v>0.35365440228342299</v>
      </c>
      <c r="K86" s="20"/>
    </row>
    <row r="87" spans="2:35" s="20" customFormat="1" outlineLevel="2" x14ac:dyDescent="0.2">
      <c r="B87" s="26"/>
      <c r="C87" s="42"/>
      <c r="D87" s="29"/>
      <c r="E87" s="29"/>
      <c r="F87" s="43"/>
      <c r="G87" s="44"/>
      <c r="H87" s="45"/>
    </row>
    <row r="88" spans="2:35" s="19" customFormat="1" outlineLevel="1" x14ac:dyDescent="0.2">
      <c r="B88" s="26"/>
      <c r="C88" s="27" t="s">
        <v>147</v>
      </c>
      <c r="G88" s="23"/>
      <c r="H88" s="38"/>
      <c r="M88" s="39"/>
      <c r="N88" s="39"/>
    </row>
    <row r="89" spans="2:35" s="19" customFormat="1" ht="13.5" outlineLevel="2" thickBot="1" x14ac:dyDescent="0.25">
      <c r="B89" s="26"/>
      <c r="C89" s="143" t="s">
        <v>2</v>
      </c>
      <c r="D89" s="144" t="s">
        <v>147</v>
      </c>
      <c r="E89" s="144"/>
      <c r="F89" s="143"/>
      <c r="G89" s="145"/>
      <c r="H89" s="146">
        <v>1</v>
      </c>
      <c r="I89" s="20"/>
      <c r="J89" s="20"/>
      <c r="K89" s="46">
        <v>1</v>
      </c>
      <c r="L89" s="46">
        <v>2</v>
      </c>
      <c r="M89" s="46">
        <v>3</v>
      </c>
      <c r="N89" s="46">
        <v>4</v>
      </c>
      <c r="O89" s="46">
        <v>5</v>
      </c>
      <c r="P89" s="46">
        <v>6</v>
      </c>
      <c r="Q89" s="46">
        <v>7</v>
      </c>
      <c r="R89" s="46">
        <v>8</v>
      </c>
      <c r="S89" s="46">
        <v>9</v>
      </c>
      <c r="T89" s="47">
        <v>10</v>
      </c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</row>
    <row r="90" spans="2:35" s="19" customFormat="1" outlineLevel="2" x14ac:dyDescent="0.2">
      <c r="B90" s="26"/>
      <c r="C90" s="167" t="s">
        <v>8</v>
      </c>
      <c r="D90" s="168" t="s">
        <v>60</v>
      </c>
      <c r="E90" s="168"/>
      <c r="F90" s="168"/>
      <c r="G90" s="165"/>
      <c r="H90" s="175" t="str">
        <f t="shared" ref="H90:H96" si="0">IF($H$89=1,K90,IF($H$89=2,L90,IF($H$89=3,M90,IF($H$89=4,N90,IF($H$89=5,O90,IF($H$89=6,P90,IF($H$89=7,Q90,IF($H$89=8,R90,IF($H$89=9,S90,IF($H$89&gt;=10,T90))))))))))</f>
        <v>EE20/10/6</v>
      </c>
      <c r="I90" s="48"/>
      <c r="J90" s="49" t="s">
        <v>60</v>
      </c>
      <c r="K90" s="50" t="s">
        <v>177</v>
      </c>
      <c r="L90" s="50" t="s">
        <v>14</v>
      </c>
      <c r="M90" s="51" t="s">
        <v>15</v>
      </c>
      <c r="N90" s="51" t="s">
        <v>16</v>
      </c>
      <c r="O90" s="51" t="s">
        <v>17</v>
      </c>
      <c r="P90" s="51" t="s">
        <v>18</v>
      </c>
      <c r="Q90" s="51" t="s">
        <v>90</v>
      </c>
      <c r="R90" s="52" t="s">
        <v>214</v>
      </c>
      <c r="S90" s="52" t="s">
        <v>215</v>
      </c>
      <c r="T90" s="154"/>
      <c r="W90" s="53"/>
      <c r="X90" s="48"/>
      <c r="Y90" s="48"/>
      <c r="Z90" s="30"/>
      <c r="AA90" s="30"/>
      <c r="AB90" s="30"/>
      <c r="AC90" s="30"/>
      <c r="AD90" s="54"/>
      <c r="AE90" s="54"/>
      <c r="AF90" s="54"/>
      <c r="AG90" s="54"/>
      <c r="AH90" s="54"/>
      <c r="AI90" s="54"/>
    </row>
    <row r="91" spans="2:35" s="19" customFormat="1" outlineLevel="2" x14ac:dyDescent="0.2">
      <c r="B91" s="26"/>
      <c r="C91" s="167" t="s">
        <v>8</v>
      </c>
      <c r="D91" s="168" t="s">
        <v>72</v>
      </c>
      <c r="E91" s="168"/>
      <c r="F91" s="168"/>
      <c r="G91" s="165"/>
      <c r="H91" s="175" t="str">
        <f t="shared" si="0"/>
        <v>TP4A(TDG)</v>
      </c>
      <c r="I91" s="48"/>
      <c r="J91" s="55" t="s">
        <v>72</v>
      </c>
      <c r="K91" s="56" t="s">
        <v>178</v>
      </c>
      <c r="L91" s="56" t="s">
        <v>104</v>
      </c>
      <c r="M91" s="57" t="s">
        <v>178</v>
      </c>
      <c r="N91" s="56" t="s">
        <v>104</v>
      </c>
      <c r="O91" s="56" t="s">
        <v>104</v>
      </c>
      <c r="P91" s="56" t="s">
        <v>104</v>
      </c>
      <c r="Q91" s="56" t="s">
        <v>104</v>
      </c>
      <c r="R91" s="57" t="s">
        <v>178</v>
      </c>
      <c r="S91" s="57" t="s">
        <v>178</v>
      </c>
      <c r="T91" s="155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2:35" s="19" customFormat="1" ht="19.5" outlineLevel="2" x14ac:dyDescent="0.2">
      <c r="B92" s="26"/>
      <c r="C92" s="167" t="s">
        <v>8</v>
      </c>
      <c r="D92" s="170" t="s">
        <v>167</v>
      </c>
      <c r="E92" s="170"/>
      <c r="F92" s="179" t="s">
        <v>166</v>
      </c>
      <c r="G92" s="165" t="s">
        <v>25</v>
      </c>
      <c r="H92" s="175">
        <f t="shared" si="0"/>
        <v>0.2</v>
      </c>
      <c r="I92" s="48"/>
      <c r="J92" s="55" t="s">
        <v>26</v>
      </c>
      <c r="K92" s="30">
        <v>0.2</v>
      </c>
      <c r="L92" s="30">
        <v>0.2</v>
      </c>
      <c r="M92" s="30">
        <v>0.25</v>
      </c>
      <c r="N92" s="30">
        <v>0.2</v>
      </c>
      <c r="O92" s="30">
        <v>0.2</v>
      </c>
      <c r="P92" s="30">
        <v>0.2</v>
      </c>
      <c r="Q92" s="30">
        <v>0.2</v>
      </c>
      <c r="R92" s="30">
        <v>0.2</v>
      </c>
      <c r="S92" s="30">
        <v>0.2</v>
      </c>
      <c r="T92" s="155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2:35" s="19" customFormat="1" ht="15.75" outlineLevel="2" x14ac:dyDescent="0.2">
      <c r="B93" s="26"/>
      <c r="C93" s="167" t="s">
        <v>8</v>
      </c>
      <c r="D93" s="170" t="s">
        <v>231</v>
      </c>
      <c r="E93" s="170"/>
      <c r="F93" s="179" t="s">
        <v>168</v>
      </c>
      <c r="G93" s="165" t="s">
        <v>24</v>
      </c>
      <c r="H93" s="175">
        <f t="shared" si="0"/>
        <v>32</v>
      </c>
      <c r="I93" s="48"/>
      <c r="J93" s="55" t="s">
        <v>23</v>
      </c>
      <c r="K93" s="58">
        <v>32</v>
      </c>
      <c r="L93" s="58">
        <v>52</v>
      </c>
      <c r="M93" s="58">
        <v>59</v>
      </c>
      <c r="N93" s="58">
        <v>83</v>
      </c>
      <c r="O93" s="58">
        <v>120</v>
      </c>
      <c r="P93" s="58">
        <v>178</v>
      </c>
      <c r="Q93" s="30">
        <v>76</v>
      </c>
      <c r="R93" s="44">
        <v>82.1</v>
      </c>
      <c r="S93" s="44">
        <v>81.400000000000006</v>
      </c>
      <c r="T93" s="155"/>
    </row>
    <row r="94" spans="2:35" s="19" customFormat="1" ht="15" customHeight="1" outlineLevel="2" x14ac:dyDescent="0.2">
      <c r="B94" s="26"/>
      <c r="C94" s="167" t="s">
        <v>8</v>
      </c>
      <c r="D94" s="170" t="s">
        <v>169</v>
      </c>
      <c r="E94" s="170"/>
      <c r="F94" s="170" t="s">
        <v>20</v>
      </c>
      <c r="G94" s="165" t="s">
        <v>19</v>
      </c>
      <c r="H94" s="175">
        <f t="shared" si="0"/>
        <v>11</v>
      </c>
      <c r="I94" s="48"/>
      <c r="J94" s="55" t="s">
        <v>20</v>
      </c>
      <c r="K94" s="58">
        <v>11</v>
      </c>
      <c r="L94" s="58">
        <v>15.6</v>
      </c>
      <c r="M94" s="58">
        <v>17.3</v>
      </c>
      <c r="N94" s="58">
        <v>20.100000000000001</v>
      </c>
      <c r="O94" s="58">
        <v>21.5</v>
      </c>
      <c r="P94" s="58">
        <v>26.3</v>
      </c>
      <c r="Q94" s="30">
        <v>21</v>
      </c>
      <c r="R94" s="44">
        <v>16</v>
      </c>
      <c r="S94" s="44">
        <v>21.69</v>
      </c>
      <c r="T94" s="155"/>
    </row>
    <row r="95" spans="2:35" s="19" customFormat="1" ht="19.5" outlineLevel="2" x14ac:dyDescent="0.2">
      <c r="B95" s="26"/>
      <c r="C95" s="167" t="s">
        <v>8</v>
      </c>
      <c r="D95" s="170" t="s">
        <v>171</v>
      </c>
      <c r="E95" s="170"/>
      <c r="F95" s="170" t="s">
        <v>170</v>
      </c>
      <c r="G95" s="165" t="s">
        <v>154</v>
      </c>
      <c r="H95" s="175">
        <f t="shared" si="0"/>
        <v>34</v>
      </c>
      <c r="I95" s="48"/>
      <c r="J95" s="55" t="s">
        <v>21</v>
      </c>
      <c r="K95" s="58">
        <v>34</v>
      </c>
      <c r="L95" s="58">
        <v>61</v>
      </c>
      <c r="M95" s="58">
        <v>90</v>
      </c>
      <c r="N95" s="58">
        <v>108.5</v>
      </c>
      <c r="O95" s="58">
        <v>122.5</v>
      </c>
      <c r="P95" s="58">
        <v>177</v>
      </c>
      <c r="Q95" s="30">
        <v>97</v>
      </c>
      <c r="R95" s="44">
        <v>68.8</v>
      </c>
      <c r="S95" s="44">
        <v>95.21</v>
      </c>
      <c r="T95" s="155"/>
    </row>
    <row r="96" spans="2:35" s="19" customFormat="1" ht="16.5" outlineLevel="2" thickBot="1" x14ac:dyDescent="0.25">
      <c r="B96" s="26"/>
      <c r="C96" s="167" t="s">
        <v>8</v>
      </c>
      <c r="D96" s="170" t="s">
        <v>173</v>
      </c>
      <c r="E96" s="170"/>
      <c r="F96" s="170" t="s">
        <v>172</v>
      </c>
      <c r="G96" s="165" t="s">
        <v>19</v>
      </c>
      <c r="H96" s="175">
        <f t="shared" si="0"/>
        <v>41.2</v>
      </c>
      <c r="I96" s="46"/>
      <c r="J96" s="59" t="s">
        <v>150</v>
      </c>
      <c r="K96" s="60">
        <v>41.2</v>
      </c>
      <c r="L96" s="60">
        <v>50</v>
      </c>
      <c r="M96" s="60">
        <v>56</v>
      </c>
      <c r="N96" s="60">
        <v>64.400000000000006</v>
      </c>
      <c r="O96" s="60">
        <v>76.400000000000006</v>
      </c>
      <c r="P96" s="60">
        <v>87</v>
      </c>
      <c r="Q96" s="61">
        <v>52.8</v>
      </c>
      <c r="R96" s="62">
        <v>50</v>
      </c>
      <c r="S96" s="62">
        <v>48.9</v>
      </c>
      <c r="T96" s="156"/>
    </row>
    <row r="97" spans="2:20" s="20" customFormat="1" outlineLevel="2" x14ac:dyDescent="0.2">
      <c r="B97" s="26"/>
      <c r="C97" s="32"/>
      <c r="D97" s="29"/>
      <c r="E97" s="29"/>
      <c r="F97" s="29"/>
      <c r="G97" s="30"/>
      <c r="H97" s="48"/>
      <c r="I97" s="46"/>
      <c r="J97" s="30"/>
      <c r="K97" s="30"/>
      <c r="L97" s="30"/>
      <c r="M97" s="30"/>
      <c r="N97" s="30"/>
      <c r="O97" s="30"/>
      <c r="P97" s="30"/>
      <c r="Q97" s="30"/>
      <c r="R97" s="44"/>
      <c r="S97" s="44"/>
      <c r="T97" s="44"/>
    </row>
    <row r="98" spans="2:20" s="19" customFormat="1" outlineLevel="1" x14ac:dyDescent="0.2">
      <c r="B98" s="63"/>
      <c r="C98" s="27" t="s">
        <v>148</v>
      </c>
      <c r="F98" s="39" t="s">
        <v>27</v>
      </c>
      <c r="G98" s="39"/>
      <c r="H98" s="19" t="s">
        <v>4</v>
      </c>
      <c r="I98" s="19" t="s">
        <v>4</v>
      </c>
    </row>
    <row r="99" spans="2:20" s="19" customFormat="1" ht="15.75" outlineLevel="2" x14ac:dyDescent="0.2">
      <c r="B99" s="26"/>
      <c r="C99" s="167" t="s">
        <v>8</v>
      </c>
      <c r="D99" s="170" t="s">
        <v>301</v>
      </c>
      <c r="E99" s="170" t="s">
        <v>742</v>
      </c>
      <c r="F99" s="179" t="s">
        <v>218</v>
      </c>
      <c r="G99" s="165" t="s">
        <v>28</v>
      </c>
      <c r="H99" s="169">
        <f>H84*H81*1000000/(H92*H93)</f>
        <v>74.630502149958133</v>
      </c>
      <c r="I99" s="64" t="s">
        <v>4</v>
      </c>
      <c r="K99" s="20"/>
      <c r="L99" s="25" t="s">
        <v>4</v>
      </c>
      <c r="P99" s="20"/>
    </row>
    <row r="100" spans="2:20" s="19" customFormat="1" ht="15.75" outlineLevel="2" x14ac:dyDescent="0.2">
      <c r="B100" s="26"/>
      <c r="C100" s="143" t="s">
        <v>2</v>
      </c>
      <c r="D100" s="143" t="s">
        <v>300</v>
      </c>
      <c r="E100" s="143"/>
      <c r="F100" s="144" t="s">
        <v>86</v>
      </c>
      <c r="G100" s="145" t="s">
        <v>28</v>
      </c>
      <c r="H100" s="149">
        <v>78</v>
      </c>
      <c r="I100" s="64"/>
      <c r="K100" s="28"/>
      <c r="L100" s="25"/>
    </row>
    <row r="101" spans="2:20" s="19" customFormat="1" ht="15.75" outlineLevel="2" x14ac:dyDescent="0.2">
      <c r="B101" s="26"/>
      <c r="C101" s="167" t="s">
        <v>8</v>
      </c>
      <c r="D101" s="170" t="s">
        <v>302</v>
      </c>
      <c r="E101" s="170" t="s">
        <v>743</v>
      </c>
      <c r="F101" s="179" t="s">
        <v>219</v>
      </c>
      <c r="G101" s="165" t="s">
        <v>28</v>
      </c>
      <c r="H101" s="184">
        <f>H$100*(H$25+H$27)/H$78</f>
        <v>12.479999999999999</v>
      </c>
      <c r="I101" s="64" t="s">
        <v>4</v>
      </c>
      <c r="K101" s="20"/>
      <c r="L101" s="25" t="s">
        <v>4</v>
      </c>
    </row>
    <row r="102" spans="2:20" s="19" customFormat="1" ht="15.75" outlineLevel="2" x14ac:dyDescent="0.2">
      <c r="B102" s="26"/>
      <c r="C102" s="143" t="s">
        <v>2</v>
      </c>
      <c r="D102" s="143" t="s">
        <v>303</v>
      </c>
      <c r="E102" s="143"/>
      <c r="F102" s="157" t="s">
        <v>186</v>
      </c>
      <c r="G102" s="145" t="s">
        <v>28</v>
      </c>
      <c r="H102" s="149">
        <v>12</v>
      </c>
      <c r="I102" s="19" t="s">
        <v>4</v>
      </c>
      <c r="K102" s="20"/>
      <c r="L102" s="21"/>
      <c r="Q102" s="20"/>
    </row>
    <row r="103" spans="2:20" s="19" customFormat="1" ht="15.75" outlineLevel="2" x14ac:dyDescent="0.2">
      <c r="B103" s="26"/>
      <c r="C103" s="167" t="s">
        <v>8</v>
      </c>
      <c r="D103" s="170" t="s">
        <v>304</v>
      </c>
      <c r="E103" s="170" t="s">
        <v>744</v>
      </c>
      <c r="F103" s="179" t="s">
        <v>220</v>
      </c>
      <c r="G103" s="165" t="s">
        <v>28</v>
      </c>
      <c r="H103" s="184">
        <f>H$100*(H$33+H$35)/H$78</f>
        <v>4.16</v>
      </c>
      <c r="K103" s="20"/>
      <c r="L103" s="21"/>
      <c r="Q103" s="20"/>
    </row>
    <row r="104" spans="2:20" s="19" customFormat="1" ht="15.75" outlineLevel="2" x14ac:dyDescent="0.2">
      <c r="B104" s="26"/>
      <c r="C104" s="143" t="s">
        <v>2</v>
      </c>
      <c r="D104" s="143" t="s">
        <v>305</v>
      </c>
      <c r="E104" s="143"/>
      <c r="F104" s="157" t="s">
        <v>187</v>
      </c>
      <c r="G104" s="145" t="s">
        <v>28</v>
      </c>
      <c r="H104" s="149">
        <v>4</v>
      </c>
      <c r="K104" s="20"/>
      <c r="L104" s="21"/>
      <c r="Q104" s="20"/>
    </row>
    <row r="105" spans="2:20" s="19" customFormat="1" ht="15.75" outlineLevel="2" x14ac:dyDescent="0.2">
      <c r="B105" s="26"/>
      <c r="C105" s="167" t="s">
        <v>8</v>
      </c>
      <c r="D105" s="170" t="s">
        <v>306</v>
      </c>
      <c r="E105" s="170" t="s">
        <v>745</v>
      </c>
      <c r="F105" s="179" t="s">
        <v>221</v>
      </c>
      <c r="G105" s="165" t="s">
        <v>28</v>
      </c>
      <c r="H105" s="184">
        <f>(H$41+H$42)*H100/(H112)</f>
        <v>11.230769230769232</v>
      </c>
      <c r="I105" s="64"/>
      <c r="K105" s="20"/>
      <c r="L105" s="25" t="s">
        <v>4</v>
      </c>
    </row>
    <row r="106" spans="2:20" s="19" customFormat="1" ht="15.75" outlineLevel="2" x14ac:dyDescent="0.2">
      <c r="B106" s="26"/>
      <c r="C106" s="143" t="s">
        <v>2</v>
      </c>
      <c r="D106" s="143" t="s">
        <v>307</v>
      </c>
      <c r="E106" s="143"/>
      <c r="F106" s="157" t="s">
        <v>144</v>
      </c>
      <c r="G106" s="145" t="s">
        <v>28</v>
      </c>
      <c r="H106" s="149">
        <v>11</v>
      </c>
      <c r="I106" s="19" t="s">
        <v>4</v>
      </c>
      <c r="K106" s="20"/>
      <c r="L106" s="21"/>
      <c r="Q106" s="20"/>
    </row>
    <row r="107" spans="2:20" s="19" customFormat="1" ht="15.75" outlineLevel="2" x14ac:dyDescent="0.2">
      <c r="B107" s="26"/>
      <c r="C107" s="167" t="s">
        <v>8</v>
      </c>
      <c r="D107" s="168" t="s">
        <v>434</v>
      </c>
      <c r="E107" s="168" t="s">
        <v>746</v>
      </c>
      <c r="F107" s="170" t="s">
        <v>222</v>
      </c>
      <c r="G107" s="165" t="s">
        <v>3</v>
      </c>
      <c r="H107" s="169">
        <f>((H25+H27)*H106/H102)-H42</f>
        <v>13.7</v>
      </c>
      <c r="K107" s="20"/>
      <c r="L107" s="21"/>
      <c r="Q107" s="20"/>
    </row>
    <row r="108" spans="2:20" s="20" customFormat="1" outlineLevel="2" x14ac:dyDescent="0.2">
      <c r="B108" s="26"/>
      <c r="C108" s="32"/>
      <c r="D108" s="28"/>
      <c r="E108" s="28"/>
      <c r="F108" s="29"/>
      <c r="G108" s="30"/>
      <c r="H108" s="18"/>
      <c r="L108" s="21"/>
    </row>
    <row r="109" spans="2:20" s="19" customFormat="1" outlineLevel="1" x14ac:dyDescent="0.2">
      <c r="B109" s="26"/>
      <c r="C109" s="27" t="s">
        <v>146</v>
      </c>
      <c r="D109" s="21"/>
      <c r="E109" s="21"/>
      <c r="F109" s="21"/>
      <c r="G109" s="21"/>
      <c r="H109" s="65"/>
      <c r="K109" s="20"/>
      <c r="L109" s="21"/>
      <c r="Q109" s="20"/>
    </row>
    <row r="110" spans="2:20" s="19" customFormat="1" ht="15.75" outlineLevel="2" x14ac:dyDescent="0.2">
      <c r="B110" s="26"/>
      <c r="C110" s="167" t="s">
        <v>8</v>
      </c>
      <c r="D110" s="168" t="s">
        <v>313</v>
      </c>
      <c r="E110" s="168" t="s">
        <v>747</v>
      </c>
      <c r="F110" s="170" t="s">
        <v>318</v>
      </c>
      <c r="G110" s="165"/>
      <c r="H110" s="169">
        <f>H100/H102</f>
        <v>6.5</v>
      </c>
      <c r="I110" s="35"/>
      <c r="K110" s="20"/>
      <c r="L110" s="20"/>
    </row>
    <row r="111" spans="2:20" s="19" customFormat="1" ht="15.75" outlineLevel="2" x14ac:dyDescent="0.2">
      <c r="B111" s="26"/>
      <c r="C111" s="167" t="s">
        <v>8</v>
      </c>
      <c r="D111" s="168" t="s">
        <v>314</v>
      </c>
      <c r="E111" s="168" t="s">
        <v>748</v>
      </c>
      <c r="F111" s="170" t="s">
        <v>319</v>
      </c>
      <c r="G111" s="165"/>
      <c r="H111" s="169">
        <f>H100/H104</f>
        <v>19.5</v>
      </c>
      <c r="I111" s="35"/>
      <c r="K111" s="20"/>
      <c r="L111" s="20"/>
    </row>
    <row r="112" spans="2:20" s="19" customFormat="1" ht="15.75" outlineLevel="2" x14ac:dyDescent="0.2">
      <c r="B112" s="26"/>
      <c r="C112" s="167" t="s">
        <v>8</v>
      </c>
      <c r="D112" s="168" t="s">
        <v>308</v>
      </c>
      <c r="E112" s="168" t="s">
        <v>749</v>
      </c>
      <c r="F112" s="170" t="s">
        <v>223</v>
      </c>
      <c r="G112" s="165" t="s">
        <v>3</v>
      </c>
      <c r="H112" s="169">
        <f>(H25+H27)*H100/H102</f>
        <v>101.39999999999999</v>
      </c>
      <c r="I112" s="35"/>
      <c r="K112" s="20"/>
      <c r="L112" s="20"/>
    </row>
    <row r="113" spans="2:19" s="19" customFormat="1" ht="15.75" outlineLevel="2" x14ac:dyDescent="0.2">
      <c r="B113" s="26"/>
      <c r="C113" s="167" t="s">
        <v>8</v>
      </c>
      <c r="D113" s="168" t="s">
        <v>309</v>
      </c>
      <c r="E113" s="168" t="s">
        <v>750</v>
      </c>
      <c r="F113" s="179" t="s">
        <v>224</v>
      </c>
      <c r="G113" s="179"/>
      <c r="H113" s="169">
        <f>H112/(H112+H70)</f>
        <v>0.51991374979353955</v>
      </c>
      <c r="I113" s="35"/>
      <c r="K113" s="66"/>
      <c r="L113" s="20"/>
    </row>
    <row r="114" spans="2:19" s="19" customFormat="1" ht="15.75" outlineLevel="2" x14ac:dyDescent="0.2">
      <c r="B114" s="26"/>
      <c r="C114" s="167" t="s">
        <v>8</v>
      </c>
      <c r="D114" s="168" t="s">
        <v>682</v>
      </c>
      <c r="E114" s="168" t="s">
        <v>751</v>
      </c>
      <c r="F114" s="179" t="s">
        <v>158</v>
      </c>
      <c r="G114" s="179"/>
      <c r="H114" s="169">
        <f>H81*(H84-H85)*H53/H112</f>
        <v>0.47104064473346369</v>
      </c>
      <c r="I114" s="35"/>
      <c r="K114" s="66"/>
      <c r="L114" s="20"/>
    </row>
    <row r="115" spans="2:19" s="19" customFormat="1" ht="15.75" outlineLevel="2" x14ac:dyDescent="0.2">
      <c r="B115" s="26"/>
      <c r="C115" s="167" t="s">
        <v>8</v>
      </c>
      <c r="D115" s="170" t="s">
        <v>310</v>
      </c>
      <c r="E115" s="168" t="s">
        <v>752</v>
      </c>
      <c r="F115" s="179" t="s">
        <v>225</v>
      </c>
      <c r="G115" s="165" t="s">
        <v>25</v>
      </c>
      <c r="H115" s="171">
        <f>H81*H84*1000000/(H100*H$93)</f>
        <v>0.19136026192296959</v>
      </c>
      <c r="I115" s="67" t="str">
        <f>IF(H115&gt;H92,"Caution! Flux density too large, increase primary turns (cell H96)","")</f>
        <v/>
      </c>
      <c r="K115" s="25"/>
      <c r="L115" s="20"/>
    </row>
    <row r="116" spans="2:19" s="19" customFormat="1" ht="15.75" outlineLevel="2" x14ac:dyDescent="0.2">
      <c r="B116" s="26"/>
      <c r="C116" s="180" t="s">
        <v>8</v>
      </c>
      <c r="D116" s="170" t="s">
        <v>489</v>
      </c>
      <c r="E116" s="168" t="s">
        <v>753</v>
      </c>
      <c r="F116" s="181" t="s">
        <v>317</v>
      </c>
      <c r="G116" s="182" t="s">
        <v>3</v>
      </c>
      <c r="H116" s="183">
        <f>((1/SQRT(2*H48*H81*H53))-(1/H112))^-1</f>
        <v>90.297148354443451</v>
      </c>
      <c r="K116" s="20"/>
    </row>
    <row r="117" spans="2:19" s="20" customFormat="1" outlineLevel="2" x14ac:dyDescent="0.2">
      <c r="B117" s="26"/>
      <c r="C117" s="32"/>
      <c r="D117" s="29"/>
      <c r="E117" s="29"/>
      <c r="F117" s="68"/>
      <c r="G117" s="30"/>
      <c r="H117" s="69"/>
      <c r="I117" s="70"/>
      <c r="K117" s="25"/>
    </row>
    <row r="118" spans="2:19" s="19" customFormat="1" outlineLevel="1" x14ac:dyDescent="0.2">
      <c r="B118" s="26"/>
      <c r="C118" s="27" t="s">
        <v>149</v>
      </c>
      <c r="D118" s="20"/>
      <c r="E118" s="20"/>
      <c r="F118" s="20"/>
      <c r="G118" s="20"/>
      <c r="H118" s="20"/>
      <c r="I118" s="71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 s="19" customFormat="1" outlineLevel="2" x14ac:dyDescent="0.2">
      <c r="B119" s="26"/>
      <c r="C119" s="143" t="s">
        <v>2</v>
      </c>
      <c r="D119" s="143" t="s">
        <v>30</v>
      </c>
      <c r="E119" s="143"/>
      <c r="F119" s="143" t="s">
        <v>29</v>
      </c>
      <c r="G119" s="145" t="s">
        <v>19</v>
      </c>
      <c r="H119" s="146">
        <v>0</v>
      </c>
      <c r="I119" s="19" t="s">
        <v>4</v>
      </c>
      <c r="K119" s="20"/>
      <c r="L119" s="20"/>
    </row>
    <row r="120" spans="2:19" s="19" customFormat="1" ht="15.75" outlineLevel="2" x14ac:dyDescent="0.2">
      <c r="B120" s="26"/>
      <c r="C120" s="143" t="s">
        <v>2</v>
      </c>
      <c r="D120" s="143" t="s">
        <v>31</v>
      </c>
      <c r="E120" s="143"/>
      <c r="F120" s="143" t="s">
        <v>435</v>
      </c>
      <c r="G120" s="145"/>
      <c r="H120" s="146">
        <v>0.4</v>
      </c>
      <c r="I120" s="19" t="s">
        <v>4</v>
      </c>
      <c r="K120" s="20"/>
      <c r="L120" s="20"/>
      <c r="M120" s="20"/>
      <c r="N120" s="20"/>
      <c r="O120" s="19" t="s">
        <v>4</v>
      </c>
    </row>
    <row r="121" spans="2:19" s="19" customFormat="1" ht="15.75" outlineLevel="2" x14ac:dyDescent="0.2">
      <c r="B121" s="26"/>
      <c r="C121" s="167" t="s">
        <v>8</v>
      </c>
      <c r="D121" s="170" t="s">
        <v>311</v>
      </c>
      <c r="E121" s="170" t="s">
        <v>754</v>
      </c>
      <c r="F121" s="168" t="s">
        <v>226</v>
      </c>
      <c r="G121" s="165" t="s">
        <v>19</v>
      </c>
      <c r="H121" s="172">
        <f>H94-(2*H119)</f>
        <v>11</v>
      </c>
      <c r="I121" s="71"/>
      <c r="K121" s="20"/>
      <c r="L121" s="20"/>
      <c r="M121" s="20"/>
    </row>
    <row r="122" spans="2:19" s="19" customFormat="1" ht="15.75" outlineLevel="2" x14ac:dyDescent="0.2">
      <c r="B122" s="26"/>
      <c r="C122" s="167" t="s">
        <v>8</v>
      </c>
      <c r="D122" s="170" t="s">
        <v>312</v>
      </c>
      <c r="E122" s="170" t="s">
        <v>755</v>
      </c>
      <c r="F122" s="168" t="s">
        <v>227</v>
      </c>
      <c r="G122" s="169" t="s">
        <v>33</v>
      </c>
      <c r="H122" s="172">
        <f>H95*H121/H94</f>
        <v>34</v>
      </c>
      <c r="I122" s="71"/>
      <c r="K122" s="20"/>
      <c r="L122" s="20"/>
      <c r="M122" s="20"/>
    </row>
    <row r="123" spans="2:19" s="19" customFormat="1" ht="15.75" outlineLevel="2" x14ac:dyDescent="0.2">
      <c r="B123" s="26"/>
      <c r="C123" s="143" t="s">
        <v>2</v>
      </c>
      <c r="D123" s="143" t="s">
        <v>322</v>
      </c>
      <c r="E123" s="143"/>
      <c r="F123" s="143" t="s">
        <v>436</v>
      </c>
      <c r="G123" s="145"/>
      <c r="H123" s="147">
        <v>0.5</v>
      </c>
      <c r="I123" s="19" t="s">
        <v>4</v>
      </c>
      <c r="K123" s="20"/>
      <c r="L123" s="20"/>
    </row>
    <row r="124" spans="2:19" s="19" customFormat="1" ht="15.75" outlineLevel="2" x14ac:dyDescent="0.2">
      <c r="B124" s="26"/>
      <c r="C124" s="143" t="s">
        <v>2</v>
      </c>
      <c r="D124" s="143" t="s">
        <v>228</v>
      </c>
      <c r="E124" s="143"/>
      <c r="F124" s="143" t="s">
        <v>437</v>
      </c>
      <c r="G124" s="145"/>
      <c r="H124" s="147">
        <v>0.3</v>
      </c>
      <c r="I124" s="19" t="s">
        <v>4</v>
      </c>
      <c r="K124" s="20"/>
      <c r="L124" s="20"/>
      <c r="M124" s="20"/>
      <c r="N124" s="20"/>
      <c r="O124" s="19" t="s">
        <v>4</v>
      </c>
    </row>
    <row r="125" spans="2:19" s="19" customFormat="1" ht="15.75" outlineLevel="2" x14ac:dyDescent="0.2">
      <c r="B125" s="26"/>
      <c r="C125" s="143" t="s">
        <v>2</v>
      </c>
      <c r="D125" s="143" t="s">
        <v>229</v>
      </c>
      <c r="E125" s="143"/>
      <c r="F125" s="143" t="s">
        <v>438</v>
      </c>
      <c r="G125" s="145"/>
      <c r="H125" s="147">
        <v>0.15</v>
      </c>
      <c r="I125" s="19" t="s">
        <v>4</v>
      </c>
      <c r="K125" s="20"/>
      <c r="L125" s="20"/>
    </row>
    <row r="126" spans="2:19" s="19" customFormat="1" ht="15.75" outlineLevel="2" x14ac:dyDescent="0.2">
      <c r="B126" s="26"/>
      <c r="C126" s="143" t="s">
        <v>2</v>
      </c>
      <c r="D126" s="143" t="s">
        <v>230</v>
      </c>
      <c r="E126" s="143"/>
      <c r="F126" s="143" t="s">
        <v>439</v>
      </c>
      <c r="G126" s="145"/>
      <c r="H126" s="147">
        <v>0.05</v>
      </c>
      <c r="I126" s="72" t="str">
        <f>IF(H123+H124+H125+H126&gt;1,"Caution! Total winding factor should be ≤1", "")</f>
        <v/>
      </c>
      <c r="K126" s="20"/>
      <c r="L126" s="20"/>
      <c r="M126" s="20"/>
      <c r="N126" s="20"/>
      <c r="O126" s="19" t="s">
        <v>4</v>
      </c>
    </row>
    <row r="127" spans="2:19" s="20" customFormat="1" outlineLevel="2" x14ac:dyDescent="0.2">
      <c r="B127" s="26"/>
      <c r="C127" s="28"/>
      <c r="D127" s="28"/>
      <c r="E127" s="28"/>
      <c r="F127" s="28"/>
      <c r="G127" s="30"/>
      <c r="H127" s="18"/>
    </row>
    <row r="128" spans="2:19" s="19" customFormat="1" outlineLevel="1" x14ac:dyDescent="0.2">
      <c r="B128" s="26"/>
      <c r="C128" s="26" t="s">
        <v>374</v>
      </c>
      <c r="F128" s="20"/>
      <c r="G128" s="46"/>
      <c r="H128" s="46"/>
      <c r="K128" s="25"/>
      <c r="L128" s="20"/>
    </row>
    <row r="129" spans="2:15" s="19" customFormat="1" ht="15.75" outlineLevel="2" x14ac:dyDescent="0.2">
      <c r="B129" s="26"/>
      <c r="C129" s="167" t="s">
        <v>8</v>
      </c>
      <c r="D129" s="170" t="s">
        <v>683</v>
      </c>
      <c r="E129" s="170" t="s">
        <v>756</v>
      </c>
      <c r="F129" s="168" t="s">
        <v>232</v>
      </c>
      <c r="G129" s="169" t="s">
        <v>33</v>
      </c>
      <c r="H129" s="174">
        <f>H123*H120*H122/H100</f>
        <v>8.7179487179487189E-2</v>
      </c>
      <c r="I129" s="73"/>
      <c r="K129" s="20"/>
      <c r="L129" s="20"/>
      <c r="M129" s="20"/>
    </row>
    <row r="130" spans="2:15" s="19" customFormat="1" ht="15.75" outlineLevel="2" x14ac:dyDescent="0.2">
      <c r="B130" s="26"/>
      <c r="C130" s="167" t="s">
        <v>8</v>
      </c>
      <c r="D130" s="170" t="s">
        <v>684</v>
      </c>
      <c r="E130" s="170" t="s">
        <v>757</v>
      </c>
      <c r="F130" s="168" t="s">
        <v>238</v>
      </c>
      <c r="G130" s="165"/>
      <c r="H130" s="177">
        <f>9.97*(1.8277-(2*LOG(2*SQRT(H129/PI()))))</f>
        <v>27.740284446363646</v>
      </c>
      <c r="I130" s="71"/>
      <c r="K130" s="20"/>
      <c r="L130" s="20"/>
      <c r="M130" s="20"/>
    </row>
    <row r="131" spans="2:15" s="19" customFormat="1" ht="15.75" outlineLevel="2" x14ac:dyDescent="0.2">
      <c r="B131" s="26"/>
      <c r="C131" s="143" t="s">
        <v>2</v>
      </c>
      <c r="D131" s="143" t="s">
        <v>685</v>
      </c>
      <c r="E131" s="143"/>
      <c r="F131" s="143" t="s">
        <v>440</v>
      </c>
      <c r="G131" s="145"/>
      <c r="H131" s="146">
        <v>30</v>
      </c>
      <c r="K131" s="20"/>
      <c r="L131" s="20"/>
      <c r="M131" s="20"/>
      <c r="N131" s="20"/>
    </row>
    <row r="132" spans="2:15" s="19" customFormat="1" ht="15.75" outlineLevel="2" x14ac:dyDescent="0.2">
      <c r="B132" s="26"/>
      <c r="C132" s="143" t="s">
        <v>2</v>
      </c>
      <c r="D132" s="143" t="s">
        <v>686</v>
      </c>
      <c r="E132" s="143"/>
      <c r="F132" s="143" t="s">
        <v>441</v>
      </c>
      <c r="G132" s="145"/>
      <c r="H132" s="146">
        <v>1</v>
      </c>
      <c r="K132" s="20"/>
      <c r="L132" s="20"/>
      <c r="M132" s="20"/>
      <c r="N132" s="20"/>
    </row>
    <row r="133" spans="2:15" s="19" customFormat="1" ht="15.75" outlineLevel="2" x14ac:dyDescent="0.2">
      <c r="B133" s="26"/>
      <c r="C133" s="167" t="s">
        <v>8</v>
      </c>
      <c r="D133" s="168" t="s">
        <v>687</v>
      </c>
      <c r="E133" s="168" t="s">
        <v>758</v>
      </c>
      <c r="F133" s="168" t="s">
        <v>233</v>
      </c>
      <c r="G133" s="165" t="s">
        <v>19</v>
      </c>
      <c r="H133" s="169">
        <f>POWER(10,((1.8277/2)-(H131/2/9.97)))</f>
        <v>0.25664715796727061</v>
      </c>
      <c r="I133" s="74"/>
      <c r="K133" s="20"/>
      <c r="L133" s="20"/>
      <c r="M133" s="20"/>
      <c r="N133" s="20"/>
    </row>
    <row r="134" spans="2:15" s="19" customFormat="1" ht="18" outlineLevel="2" x14ac:dyDescent="0.2">
      <c r="B134" s="26"/>
      <c r="C134" s="167" t="s">
        <v>8</v>
      </c>
      <c r="D134" s="168" t="s">
        <v>688</v>
      </c>
      <c r="E134" s="168" t="s">
        <v>759</v>
      </c>
      <c r="F134" s="168" t="s">
        <v>234</v>
      </c>
      <c r="G134" s="165" t="s">
        <v>22</v>
      </c>
      <c r="H134" s="174">
        <f>(POWER(10,((1.8277/2)-(H131/2/9.97)))/2)^2*PI()*H132</f>
        <v>5.1732420631325771E-2</v>
      </c>
      <c r="I134" s="75" t="str">
        <f>IF(H134&gt;H129,"Caution! Cross sectional area too large, reduce wire size (cell C126)","")</f>
        <v/>
      </c>
      <c r="K134" s="20"/>
      <c r="L134" s="20"/>
      <c r="M134" s="20"/>
      <c r="N134" s="20"/>
    </row>
    <row r="135" spans="2:15" s="19" customFormat="1" ht="18" outlineLevel="2" x14ac:dyDescent="0.2">
      <c r="B135" s="26"/>
      <c r="C135" s="167" t="s">
        <v>8</v>
      </c>
      <c r="D135" s="170" t="s">
        <v>691</v>
      </c>
      <c r="E135" s="168" t="s">
        <v>760</v>
      </c>
      <c r="F135" s="168" t="s">
        <v>235</v>
      </c>
      <c r="G135" s="165" t="s">
        <v>35</v>
      </c>
      <c r="H135" s="169">
        <f>H86/H134</f>
        <v>6.8362237445597707</v>
      </c>
      <c r="I135" s="76" t="str">
        <f>IF(H135&gt;8,"Caution! Current density too high, increase wire size (cell H126)","")</f>
        <v/>
      </c>
      <c r="K135" s="20"/>
      <c r="L135" s="20"/>
      <c r="M135" s="20"/>
    </row>
    <row r="136" spans="2:15" s="19" customFormat="1" ht="15.75" outlineLevel="2" x14ac:dyDescent="0.2">
      <c r="B136" s="26"/>
      <c r="C136" s="143" t="s">
        <v>2</v>
      </c>
      <c r="D136" s="143" t="s">
        <v>32</v>
      </c>
      <c r="E136" s="143"/>
      <c r="F136" s="143" t="s">
        <v>442</v>
      </c>
      <c r="G136" s="145" t="s">
        <v>19</v>
      </c>
      <c r="H136" s="146">
        <v>0.01</v>
      </c>
      <c r="I136" s="19" t="s">
        <v>4</v>
      </c>
      <c r="K136" s="20"/>
      <c r="L136" s="20"/>
      <c r="M136" s="20"/>
    </row>
    <row r="137" spans="2:15" s="19" customFormat="1" ht="15.75" outlineLevel="2" x14ac:dyDescent="0.2">
      <c r="B137" s="26"/>
      <c r="C137" s="167" t="s">
        <v>8</v>
      </c>
      <c r="D137" s="170" t="s">
        <v>692</v>
      </c>
      <c r="E137" s="170" t="s">
        <v>761</v>
      </c>
      <c r="F137" s="168" t="s">
        <v>236</v>
      </c>
      <c r="G137" s="165" t="s">
        <v>36</v>
      </c>
      <c r="H137" s="177">
        <f>MIN(ROUNDDOWN(H121/((H133+(2*H136))*H132),0),H100)</f>
        <v>39</v>
      </c>
      <c r="I137" s="71"/>
      <c r="K137" s="20"/>
      <c r="L137" s="77"/>
      <c r="M137" s="20"/>
    </row>
    <row r="138" spans="2:15" s="19" customFormat="1" ht="15.75" outlineLevel="2" x14ac:dyDescent="0.2">
      <c r="B138" s="26"/>
      <c r="C138" s="167" t="s">
        <v>8</v>
      </c>
      <c r="D138" s="170" t="s">
        <v>693</v>
      </c>
      <c r="E138" s="170" t="s">
        <v>762</v>
      </c>
      <c r="F138" s="168" t="s">
        <v>237</v>
      </c>
      <c r="G138" s="165" t="s">
        <v>37</v>
      </c>
      <c r="H138" s="177">
        <f>ROUNDUP(H100/H137,0)</f>
        <v>2</v>
      </c>
      <c r="I138" s="71"/>
      <c r="K138" s="20"/>
      <c r="L138" s="78"/>
      <c r="M138" s="20"/>
      <c r="N138" s="20"/>
      <c r="O138" s="19" t="s">
        <v>4</v>
      </c>
    </row>
    <row r="139" spans="2:15" s="20" customFormat="1" outlineLevel="2" x14ac:dyDescent="0.2">
      <c r="B139" s="26"/>
      <c r="C139" s="32"/>
      <c r="D139" s="29"/>
      <c r="E139" s="29"/>
      <c r="F139" s="28"/>
      <c r="G139" s="30"/>
      <c r="H139" s="65"/>
      <c r="I139" s="71"/>
      <c r="L139" s="78"/>
    </row>
    <row r="140" spans="2:15" s="19" customFormat="1" outlineLevel="1" x14ac:dyDescent="0.2">
      <c r="B140" s="26"/>
      <c r="C140" s="26" t="s">
        <v>375</v>
      </c>
      <c r="F140" s="20"/>
      <c r="G140" s="46"/>
      <c r="H140" s="46"/>
      <c r="K140" s="25"/>
      <c r="L140" s="20"/>
    </row>
    <row r="141" spans="2:15" s="19" customFormat="1" ht="15.75" outlineLevel="2" x14ac:dyDescent="0.2">
      <c r="B141" s="26"/>
      <c r="C141" s="167" t="s">
        <v>8</v>
      </c>
      <c r="D141" s="170" t="s">
        <v>683</v>
      </c>
      <c r="E141" s="170" t="s">
        <v>763</v>
      </c>
      <c r="F141" s="168" t="s">
        <v>241</v>
      </c>
      <c r="G141" s="169" t="s">
        <v>33</v>
      </c>
      <c r="H141" s="174">
        <f>H124*H120*H122/H102</f>
        <v>0.34</v>
      </c>
      <c r="I141" s="73"/>
      <c r="K141" s="20"/>
      <c r="L141" s="20"/>
      <c r="M141" s="20"/>
    </row>
    <row r="142" spans="2:15" s="19" customFormat="1" ht="15.75" outlineLevel="2" x14ac:dyDescent="0.2">
      <c r="B142" s="26"/>
      <c r="C142" s="167" t="s">
        <v>8</v>
      </c>
      <c r="D142" s="170" t="s">
        <v>684</v>
      </c>
      <c r="E142" s="170" t="s">
        <v>764</v>
      </c>
      <c r="F142" s="168" t="s">
        <v>239</v>
      </c>
      <c r="G142" s="165"/>
      <c r="H142" s="177">
        <f>9.97*(1.8277-(2*LOG(2*SQRT(H141/PI()))))</f>
        <v>21.847370314309448</v>
      </c>
      <c r="I142" s="71"/>
      <c r="K142" s="20"/>
      <c r="L142" s="20"/>
      <c r="M142" s="20"/>
    </row>
    <row r="143" spans="2:15" s="19" customFormat="1" ht="15.75" outlineLevel="2" x14ac:dyDescent="0.2">
      <c r="B143" s="26"/>
      <c r="C143" s="143" t="s">
        <v>2</v>
      </c>
      <c r="D143" s="143" t="s">
        <v>685</v>
      </c>
      <c r="E143" s="143"/>
      <c r="F143" s="143" t="s">
        <v>443</v>
      </c>
      <c r="G143" s="145"/>
      <c r="H143" s="146">
        <v>26</v>
      </c>
      <c r="K143" s="20"/>
      <c r="L143" s="20"/>
      <c r="M143" s="20"/>
      <c r="N143" s="20"/>
    </row>
    <row r="144" spans="2:15" s="19" customFormat="1" ht="15.75" outlineLevel="2" x14ac:dyDescent="0.2">
      <c r="B144" s="26"/>
      <c r="C144" s="143" t="s">
        <v>2</v>
      </c>
      <c r="D144" s="143" t="s">
        <v>686</v>
      </c>
      <c r="E144" s="143"/>
      <c r="F144" s="143" t="s">
        <v>444</v>
      </c>
      <c r="G144" s="145"/>
      <c r="H144" s="146">
        <v>2</v>
      </c>
      <c r="K144" s="20"/>
      <c r="L144" s="20"/>
      <c r="M144" s="20"/>
      <c r="N144" s="20"/>
    </row>
    <row r="145" spans="2:15" s="19" customFormat="1" ht="15.75" outlineLevel="2" x14ac:dyDescent="0.2">
      <c r="B145" s="26"/>
      <c r="C145" s="167" t="s">
        <v>8</v>
      </c>
      <c r="D145" s="168" t="s">
        <v>687</v>
      </c>
      <c r="E145" s="168" t="s">
        <v>765</v>
      </c>
      <c r="F145" s="168" t="s">
        <v>242</v>
      </c>
      <c r="G145" s="165" t="s">
        <v>19</v>
      </c>
      <c r="H145" s="174">
        <f>POWER(10,((1.8277/2)-(H143/2/9.97)))</f>
        <v>0.40732237258352005</v>
      </c>
      <c r="I145" s="74"/>
      <c r="K145" s="20"/>
      <c r="L145" s="20"/>
      <c r="M145" s="20"/>
      <c r="N145" s="20"/>
    </row>
    <row r="146" spans="2:15" s="19" customFormat="1" ht="18" outlineLevel="2" x14ac:dyDescent="0.2">
      <c r="B146" s="26"/>
      <c r="C146" s="167" t="s">
        <v>8</v>
      </c>
      <c r="D146" s="168" t="s">
        <v>688</v>
      </c>
      <c r="E146" s="168" t="s">
        <v>766</v>
      </c>
      <c r="F146" s="168" t="s">
        <v>243</v>
      </c>
      <c r="G146" s="165" t="s">
        <v>22</v>
      </c>
      <c r="H146" s="174">
        <f>PI()*H145^2*H144/4</f>
        <v>0.26061319866023791</v>
      </c>
      <c r="I146" s="75" t="str">
        <f>IF(H146&gt;H141,"Caution! Cross sectional area too large, reduce wire size (cell C138)","")</f>
        <v/>
      </c>
      <c r="K146" s="20"/>
      <c r="L146" s="20"/>
      <c r="M146" s="20"/>
      <c r="N146" s="20"/>
    </row>
    <row r="147" spans="2:15" s="19" customFormat="1" ht="15.75" outlineLevel="2" x14ac:dyDescent="0.2">
      <c r="B147" s="26"/>
      <c r="C147" s="167" t="s">
        <v>8</v>
      </c>
      <c r="D147" s="170" t="s">
        <v>689</v>
      </c>
      <c r="E147" s="168" t="s">
        <v>767</v>
      </c>
      <c r="F147" s="168" t="s">
        <v>320</v>
      </c>
      <c r="G147" s="165" t="s">
        <v>10</v>
      </c>
      <c r="H147" s="174">
        <f>H84*H110*H30</f>
        <v>4.8030747754139593</v>
      </c>
      <c r="I147" s="35"/>
      <c r="K147" s="20"/>
      <c r="L147" s="20"/>
      <c r="M147" s="20"/>
      <c r="N147" s="20"/>
    </row>
    <row r="148" spans="2:15" s="19" customFormat="1" ht="15.75" outlineLevel="2" x14ac:dyDescent="0.2">
      <c r="B148" s="26"/>
      <c r="C148" s="167" t="s">
        <v>8</v>
      </c>
      <c r="D148" s="170" t="s">
        <v>690</v>
      </c>
      <c r="E148" s="168" t="s">
        <v>768</v>
      </c>
      <c r="F148" s="168" t="s">
        <v>240</v>
      </c>
      <c r="G148" s="165" t="s">
        <v>10</v>
      </c>
      <c r="H148" s="174">
        <f>H86*H30*SQRT((1-H113)/H113)*H110</f>
        <v>1.9032152630262982</v>
      </c>
      <c r="I148" s="35"/>
      <c r="K148" s="20"/>
      <c r="L148" s="20"/>
      <c r="M148" s="20"/>
      <c r="N148" s="20"/>
    </row>
    <row r="149" spans="2:15" s="19" customFormat="1" ht="18" outlineLevel="2" x14ac:dyDescent="0.2">
      <c r="B149" s="26"/>
      <c r="C149" s="167" t="s">
        <v>8</v>
      </c>
      <c r="D149" s="170" t="s">
        <v>691</v>
      </c>
      <c r="E149" s="168" t="s">
        <v>769</v>
      </c>
      <c r="F149" s="168" t="s">
        <v>244</v>
      </c>
      <c r="G149" s="165" t="s">
        <v>35</v>
      </c>
      <c r="H149" s="169">
        <f>H148/H146</f>
        <v>7.3028352854358873</v>
      </c>
      <c r="I149" s="76" t="str">
        <f>IF(H149&gt;8,"Caution! Current density too high, increase wire size (cell H138)","")</f>
        <v/>
      </c>
      <c r="K149" s="20"/>
      <c r="L149" s="20"/>
      <c r="M149" s="20"/>
    </row>
    <row r="150" spans="2:15" s="19" customFormat="1" ht="15.75" outlineLevel="2" x14ac:dyDescent="0.2">
      <c r="B150" s="26"/>
      <c r="C150" s="143" t="s">
        <v>2</v>
      </c>
      <c r="D150" s="143" t="s">
        <v>32</v>
      </c>
      <c r="E150" s="143"/>
      <c r="F150" s="143" t="s">
        <v>445</v>
      </c>
      <c r="G150" s="145" t="s">
        <v>19</v>
      </c>
      <c r="H150" s="147">
        <v>0.01</v>
      </c>
      <c r="K150" s="20"/>
      <c r="L150" s="20"/>
      <c r="M150" s="20"/>
    </row>
    <row r="151" spans="2:15" s="19" customFormat="1" ht="15.75" outlineLevel="2" x14ac:dyDescent="0.2">
      <c r="B151" s="26"/>
      <c r="C151" s="167" t="s">
        <v>8</v>
      </c>
      <c r="D151" s="170" t="s">
        <v>692</v>
      </c>
      <c r="E151" s="170" t="s">
        <v>770</v>
      </c>
      <c r="F151" s="168" t="s">
        <v>245</v>
      </c>
      <c r="G151" s="165" t="s">
        <v>36</v>
      </c>
      <c r="H151" s="177">
        <f>MIN(ROUNDDOWN(H121/((H145+(2*H150))*H144),0),H102)</f>
        <v>12</v>
      </c>
      <c r="I151" s="71"/>
      <c r="K151" s="20"/>
      <c r="L151" s="77"/>
      <c r="M151" s="20"/>
    </row>
    <row r="152" spans="2:15" s="19" customFormat="1" ht="15.75" outlineLevel="2" x14ac:dyDescent="0.2">
      <c r="B152" s="26"/>
      <c r="C152" s="167" t="s">
        <v>8</v>
      </c>
      <c r="D152" s="170" t="s">
        <v>693</v>
      </c>
      <c r="E152" s="170" t="s">
        <v>771</v>
      </c>
      <c r="F152" s="168" t="s">
        <v>246</v>
      </c>
      <c r="G152" s="165" t="s">
        <v>37</v>
      </c>
      <c r="H152" s="177">
        <f>ROUNDUP(H102/H151,0)</f>
        <v>1</v>
      </c>
      <c r="I152" s="71"/>
      <c r="K152" s="20"/>
      <c r="L152" s="78"/>
      <c r="M152" s="20"/>
      <c r="N152" s="20"/>
      <c r="O152" s="19" t="s">
        <v>4</v>
      </c>
    </row>
    <row r="153" spans="2:15" s="20" customFormat="1" outlineLevel="2" x14ac:dyDescent="0.2">
      <c r="B153" s="26"/>
      <c r="C153" s="32"/>
      <c r="D153" s="29"/>
      <c r="E153" s="29"/>
      <c r="F153" s="28"/>
      <c r="G153" s="30"/>
      <c r="H153" s="65"/>
      <c r="I153" s="71"/>
      <c r="L153" s="78"/>
    </row>
    <row r="154" spans="2:15" s="19" customFormat="1" outlineLevel="1" x14ac:dyDescent="0.2">
      <c r="B154" s="26"/>
      <c r="C154" s="26" t="s">
        <v>376</v>
      </c>
      <c r="F154" s="20"/>
      <c r="G154" s="46"/>
      <c r="H154" s="46"/>
      <c r="K154" s="25"/>
      <c r="L154" s="20"/>
    </row>
    <row r="155" spans="2:15" s="19" customFormat="1" ht="15.75" customHeight="1" outlineLevel="2" x14ac:dyDescent="0.2">
      <c r="B155" s="26"/>
      <c r="C155" s="167" t="s">
        <v>8</v>
      </c>
      <c r="D155" s="170" t="s">
        <v>683</v>
      </c>
      <c r="E155" s="170" t="s">
        <v>772</v>
      </c>
      <c r="F155" s="168" t="s">
        <v>247</v>
      </c>
      <c r="G155" s="169" t="s">
        <v>33</v>
      </c>
      <c r="H155" s="174">
        <f>H125*H120*H122/H104</f>
        <v>0.51</v>
      </c>
      <c r="I155" s="73"/>
      <c r="K155" s="20"/>
      <c r="L155" s="20"/>
      <c r="M155" s="20"/>
    </row>
    <row r="156" spans="2:15" s="19" customFormat="1" ht="15.75" customHeight="1" outlineLevel="2" x14ac:dyDescent="0.2">
      <c r="B156" s="26"/>
      <c r="C156" s="167" t="s">
        <v>8</v>
      </c>
      <c r="D156" s="170" t="s">
        <v>684</v>
      </c>
      <c r="E156" s="170" t="s">
        <v>773</v>
      </c>
      <c r="F156" s="168" t="s">
        <v>248</v>
      </c>
      <c r="G156" s="165"/>
      <c r="H156" s="177">
        <f>9.97*(1.8277-(2*LOG(2*SQRT(H155/PI()))))</f>
        <v>20.091740461524303</v>
      </c>
      <c r="I156" s="71"/>
      <c r="K156" s="20"/>
      <c r="L156" s="20"/>
      <c r="M156" s="20"/>
    </row>
    <row r="157" spans="2:15" s="19" customFormat="1" ht="15.75" customHeight="1" outlineLevel="2" x14ac:dyDescent="0.2">
      <c r="B157" s="26"/>
      <c r="C157" s="143" t="s">
        <v>2</v>
      </c>
      <c r="D157" s="143" t="s">
        <v>685</v>
      </c>
      <c r="E157" s="143"/>
      <c r="F157" s="143" t="s">
        <v>446</v>
      </c>
      <c r="G157" s="145"/>
      <c r="H157" s="146">
        <v>26</v>
      </c>
      <c r="K157" s="20"/>
      <c r="L157" s="20"/>
      <c r="M157" s="20"/>
      <c r="N157" s="20"/>
    </row>
    <row r="158" spans="2:15" s="19" customFormat="1" ht="15.75" customHeight="1" outlineLevel="2" x14ac:dyDescent="0.2">
      <c r="B158" s="26"/>
      <c r="C158" s="143" t="s">
        <v>2</v>
      </c>
      <c r="D158" s="143" t="s">
        <v>686</v>
      </c>
      <c r="E158" s="143"/>
      <c r="F158" s="143" t="s">
        <v>447</v>
      </c>
      <c r="G158" s="145"/>
      <c r="H158" s="146">
        <v>1</v>
      </c>
      <c r="K158" s="20"/>
      <c r="L158" s="20"/>
      <c r="M158" s="20"/>
      <c r="N158" s="20"/>
    </row>
    <row r="159" spans="2:15" s="19" customFormat="1" ht="15.75" customHeight="1" outlineLevel="2" x14ac:dyDescent="0.2">
      <c r="B159" s="26"/>
      <c r="C159" s="167" t="s">
        <v>8</v>
      </c>
      <c r="D159" s="168" t="s">
        <v>687</v>
      </c>
      <c r="E159" s="168" t="s">
        <v>774</v>
      </c>
      <c r="F159" s="168" t="s">
        <v>249</v>
      </c>
      <c r="G159" s="165" t="s">
        <v>19</v>
      </c>
      <c r="H159" s="174">
        <f>POWER(10,((1.8277/2)-(H157/2/9.97)))</f>
        <v>0.40732237258352005</v>
      </c>
      <c r="I159" s="74"/>
      <c r="K159" s="20"/>
      <c r="L159" s="20"/>
      <c r="M159" s="20"/>
      <c r="N159" s="20"/>
    </row>
    <row r="160" spans="2:15" s="19" customFormat="1" ht="18" customHeight="1" outlineLevel="2" x14ac:dyDescent="0.2">
      <c r="B160" s="26"/>
      <c r="C160" s="167" t="s">
        <v>8</v>
      </c>
      <c r="D160" s="168" t="s">
        <v>688</v>
      </c>
      <c r="E160" s="168" t="s">
        <v>775</v>
      </c>
      <c r="F160" s="168" t="s">
        <v>250</v>
      </c>
      <c r="G160" s="165" t="s">
        <v>22</v>
      </c>
      <c r="H160" s="174">
        <f>PI()*H159^2*H158/4</f>
        <v>0.13030659933011896</v>
      </c>
      <c r="I160" s="75" t="str">
        <f>IF(H160&gt;H155,"Caution! Cross sectional area too large, reduce wire size (cell C152)","")</f>
        <v/>
      </c>
      <c r="K160" s="20"/>
      <c r="L160" s="20"/>
      <c r="M160" s="20"/>
      <c r="N160" s="20"/>
    </row>
    <row r="161" spans="2:20" s="19" customFormat="1" ht="15.75" customHeight="1" outlineLevel="2" x14ac:dyDescent="0.2">
      <c r="B161" s="26"/>
      <c r="C161" s="167" t="s">
        <v>8</v>
      </c>
      <c r="D161" s="170" t="s">
        <v>689</v>
      </c>
      <c r="E161" s="168" t="s">
        <v>776</v>
      </c>
      <c r="F161" s="168" t="s">
        <v>323</v>
      </c>
      <c r="G161" s="165" t="s">
        <v>10</v>
      </c>
      <c r="H161" s="174">
        <f>H84*H111*H38</f>
        <v>2.3147348315248002</v>
      </c>
      <c r="I161" s="35"/>
      <c r="K161" s="20"/>
      <c r="L161" s="20"/>
      <c r="M161" s="20"/>
      <c r="N161" s="20"/>
    </row>
    <row r="162" spans="2:20" s="19" customFormat="1" ht="15.75" customHeight="1" outlineLevel="2" x14ac:dyDescent="0.2">
      <c r="B162" s="26"/>
      <c r="C162" s="167" t="s">
        <v>8</v>
      </c>
      <c r="D162" s="170" t="s">
        <v>690</v>
      </c>
      <c r="E162" s="168" t="s">
        <v>777</v>
      </c>
      <c r="F162" s="168" t="s">
        <v>251</v>
      </c>
      <c r="G162" s="165" t="s">
        <v>10</v>
      </c>
      <c r="H162" s="174">
        <f>H86*H38*SQRT((1-H113)/H113)*H111</f>
        <v>0.91721217495243279</v>
      </c>
      <c r="I162" s="35"/>
      <c r="K162" s="20"/>
      <c r="L162" s="20"/>
      <c r="M162" s="20"/>
      <c r="N162" s="20"/>
    </row>
    <row r="163" spans="2:20" s="19" customFormat="1" ht="18" customHeight="1" outlineLevel="2" x14ac:dyDescent="0.2">
      <c r="B163" s="26"/>
      <c r="C163" s="167" t="s">
        <v>8</v>
      </c>
      <c r="D163" s="170" t="s">
        <v>691</v>
      </c>
      <c r="E163" s="168" t="s">
        <v>778</v>
      </c>
      <c r="F163" s="168" t="s">
        <v>252</v>
      </c>
      <c r="G163" s="165" t="s">
        <v>35</v>
      </c>
      <c r="H163" s="169">
        <f>H162/H160</f>
        <v>7.0388773835526619</v>
      </c>
      <c r="I163" s="76" t="str">
        <f>IF(H163&gt;8,"Caution! Current density too high, increase wire size (cell H152)","")</f>
        <v/>
      </c>
      <c r="K163" s="20"/>
      <c r="L163" s="20"/>
      <c r="M163" s="20"/>
    </row>
    <row r="164" spans="2:20" s="19" customFormat="1" ht="15.75" customHeight="1" outlineLevel="2" x14ac:dyDescent="0.2">
      <c r="B164" s="26"/>
      <c r="C164" s="143" t="s">
        <v>2</v>
      </c>
      <c r="D164" s="143" t="s">
        <v>32</v>
      </c>
      <c r="E164" s="143"/>
      <c r="F164" s="143" t="s">
        <v>448</v>
      </c>
      <c r="G164" s="145" t="s">
        <v>19</v>
      </c>
      <c r="H164" s="147">
        <v>0.01</v>
      </c>
      <c r="K164" s="20"/>
      <c r="L164" s="20"/>
      <c r="M164" s="20"/>
    </row>
    <row r="165" spans="2:20" s="19" customFormat="1" ht="15.75" customHeight="1" outlineLevel="2" x14ac:dyDescent="0.2">
      <c r="B165" s="26"/>
      <c r="C165" s="167" t="s">
        <v>8</v>
      </c>
      <c r="D165" s="170" t="s">
        <v>692</v>
      </c>
      <c r="E165" s="170" t="s">
        <v>779</v>
      </c>
      <c r="F165" s="168" t="s">
        <v>253</v>
      </c>
      <c r="G165" s="165" t="s">
        <v>36</v>
      </c>
      <c r="H165" s="177">
        <f>ROUNDDOWN(H121/((H159+(2*H164))*H158),0)</f>
        <v>25</v>
      </c>
      <c r="I165" s="71"/>
      <c r="K165" s="20"/>
      <c r="L165" s="77"/>
      <c r="M165" s="20"/>
    </row>
    <row r="166" spans="2:20" s="19" customFormat="1" ht="15.75" customHeight="1" outlineLevel="2" x14ac:dyDescent="0.2">
      <c r="B166" s="26"/>
      <c r="C166" s="167" t="s">
        <v>8</v>
      </c>
      <c r="D166" s="170" t="s">
        <v>693</v>
      </c>
      <c r="E166" s="170" t="s">
        <v>780</v>
      </c>
      <c r="F166" s="168" t="s">
        <v>254</v>
      </c>
      <c r="G166" s="165" t="s">
        <v>37</v>
      </c>
      <c r="H166" s="177">
        <f>ROUNDUP(H104/H165,0)</f>
        <v>1</v>
      </c>
      <c r="I166" s="71"/>
      <c r="K166" s="20"/>
      <c r="L166" s="78"/>
      <c r="M166" s="20"/>
      <c r="N166" s="20"/>
      <c r="O166" s="19" t="s">
        <v>4</v>
      </c>
    </row>
    <row r="167" spans="2:20" s="20" customFormat="1" ht="12.75" customHeight="1" outlineLevel="2" x14ac:dyDescent="0.2">
      <c r="B167" s="26"/>
      <c r="C167" s="32"/>
      <c r="D167" s="29"/>
      <c r="E167" s="29"/>
      <c r="F167" s="28"/>
      <c r="G167" s="30"/>
      <c r="H167" s="65"/>
      <c r="I167" s="71"/>
      <c r="L167" s="78"/>
    </row>
    <row r="168" spans="2:20" s="20" customFormat="1" ht="12.75" customHeight="1" outlineLevel="2" x14ac:dyDescent="0.2">
      <c r="B168" s="26"/>
      <c r="C168" s="32"/>
      <c r="D168" s="29"/>
      <c r="E168" s="29"/>
      <c r="F168" s="28"/>
      <c r="G168" s="30"/>
      <c r="H168" s="79"/>
      <c r="I168" s="71"/>
    </row>
    <row r="169" spans="2:20" s="19" customFormat="1" x14ac:dyDescent="0.2">
      <c r="B169" s="26" t="s">
        <v>378</v>
      </c>
      <c r="F169" s="23"/>
      <c r="G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2:20" s="19" customFormat="1" outlineLevel="1" x14ac:dyDescent="0.2">
      <c r="B170" s="27"/>
      <c r="C170" s="27" t="s">
        <v>151</v>
      </c>
      <c r="D170" s="20"/>
      <c r="E170" s="20"/>
      <c r="F170" s="20"/>
      <c r="G170" s="46"/>
      <c r="H170" s="79"/>
      <c r="I170" s="71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2:20" s="19" customFormat="1" ht="15.75" customHeight="1" outlineLevel="2" x14ac:dyDescent="0.2">
      <c r="B171" s="26"/>
      <c r="C171" s="143" t="s">
        <v>2</v>
      </c>
      <c r="D171" s="143" t="s">
        <v>324</v>
      </c>
      <c r="E171" s="143"/>
      <c r="F171" s="143" t="s">
        <v>449</v>
      </c>
      <c r="G171" s="145" t="s">
        <v>68</v>
      </c>
      <c r="H171" s="146">
        <v>2.5</v>
      </c>
      <c r="I171" s="19" t="s">
        <v>4</v>
      </c>
      <c r="K171" s="25"/>
      <c r="L171" s="20"/>
    </row>
    <row r="172" spans="2:20" s="20" customFormat="1" ht="15.75" customHeight="1" outlineLevel="2" x14ac:dyDescent="0.2">
      <c r="B172" s="26"/>
      <c r="C172" s="167" t="s">
        <v>8</v>
      </c>
      <c r="D172" s="170" t="s">
        <v>325</v>
      </c>
      <c r="E172" s="170" t="s">
        <v>781</v>
      </c>
      <c r="F172" s="168" t="s">
        <v>116</v>
      </c>
      <c r="G172" s="165" t="s">
        <v>13</v>
      </c>
      <c r="H172" s="178">
        <f>H171*H81/100</f>
        <v>1.39229691074517E-5</v>
      </c>
      <c r="I172" s="71"/>
      <c r="J172" s="19"/>
      <c r="M172" s="19"/>
      <c r="N172" s="19"/>
      <c r="O172" s="19"/>
      <c r="P172" s="19"/>
      <c r="Q172" s="19"/>
      <c r="R172" s="19"/>
      <c r="S172" s="19"/>
    </row>
    <row r="173" spans="2:20" s="19" customFormat="1" ht="15.75" outlineLevel="2" x14ac:dyDescent="0.2">
      <c r="B173" s="26"/>
      <c r="C173" s="167" t="s">
        <v>8</v>
      </c>
      <c r="D173" s="170" t="s">
        <v>326</v>
      </c>
      <c r="E173" s="170" t="s">
        <v>782</v>
      </c>
      <c r="F173" s="168" t="s">
        <v>96</v>
      </c>
      <c r="G173" s="165" t="s">
        <v>3</v>
      </c>
      <c r="H173" s="169">
        <f>H54-H61-H112</f>
        <v>131.90952441687864</v>
      </c>
      <c r="I173" s="71"/>
      <c r="K173" s="20"/>
      <c r="L173" s="20"/>
    </row>
    <row r="174" spans="2:20" s="19" customFormat="1" ht="15.75" outlineLevel="2" x14ac:dyDescent="0.2">
      <c r="B174" s="26"/>
      <c r="C174" s="167" t="s">
        <v>8</v>
      </c>
      <c r="D174" s="170" t="s">
        <v>327</v>
      </c>
      <c r="E174" s="170" t="s">
        <v>783</v>
      </c>
      <c r="F174" s="168" t="s">
        <v>328</v>
      </c>
      <c r="G174" s="165" t="s">
        <v>39</v>
      </c>
      <c r="H174" s="169">
        <f>H172*H84^2/((H173*(H112+H173)))*1000000000</f>
        <v>0.33276083881813684</v>
      </c>
      <c r="I174" s="71"/>
      <c r="K174" s="20"/>
      <c r="L174" s="20"/>
    </row>
    <row r="175" spans="2:20" s="19" customFormat="1" ht="15.75" outlineLevel="2" x14ac:dyDescent="0.2">
      <c r="B175" s="26"/>
      <c r="C175" s="143" t="s">
        <v>2</v>
      </c>
      <c r="D175" s="143" t="s">
        <v>648</v>
      </c>
      <c r="E175" s="143"/>
      <c r="F175" s="143" t="s">
        <v>450</v>
      </c>
      <c r="G175" s="145" t="s">
        <v>39</v>
      </c>
      <c r="H175" s="146">
        <v>1</v>
      </c>
      <c r="I175" s="71"/>
      <c r="K175" s="20"/>
      <c r="L175" s="20"/>
    </row>
    <row r="176" spans="2:20" s="19" customFormat="1" ht="15.75" outlineLevel="2" x14ac:dyDescent="0.2">
      <c r="B176" s="26"/>
      <c r="C176" s="167" t="s">
        <v>8</v>
      </c>
      <c r="D176" s="170" t="s">
        <v>329</v>
      </c>
      <c r="E176" s="170" t="s">
        <v>784</v>
      </c>
      <c r="F176" s="168" t="s">
        <v>694</v>
      </c>
      <c r="G176" s="165" t="s">
        <v>557</v>
      </c>
      <c r="H176" s="172">
        <f>((H112+H173)^2-H112^2)/(H172*H84^2*H53*0.5*1000)</f>
        <v>86.225036640971695</v>
      </c>
      <c r="I176" s="71"/>
      <c r="K176" s="20"/>
      <c r="L176" s="20"/>
    </row>
    <row r="177" spans="2:20" s="19" customFormat="1" ht="15.75" outlineLevel="2" x14ac:dyDescent="0.2">
      <c r="B177" s="26"/>
      <c r="C177" s="143" t="s">
        <v>2</v>
      </c>
      <c r="D177" s="143" t="s">
        <v>649</v>
      </c>
      <c r="E177" s="143"/>
      <c r="F177" s="143" t="s">
        <v>330</v>
      </c>
      <c r="G177" s="145" t="s">
        <v>557</v>
      </c>
      <c r="H177" s="146">
        <v>68</v>
      </c>
      <c r="I177" s="71"/>
      <c r="K177" s="20"/>
      <c r="L177" s="20"/>
    </row>
    <row r="178" spans="2:20" s="20" customFormat="1" outlineLevel="2" x14ac:dyDescent="0.2">
      <c r="B178" s="26"/>
      <c r="C178" s="28"/>
      <c r="D178" s="28"/>
      <c r="E178" s="28"/>
      <c r="F178" s="28"/>
      <c r="G178" s="30"/>
      <c r="H178" s="30"/>
      <c r="I178" s="71"/>
    </row>
    <row r="179" spans="2:20" s="19" customFormat="1" outlineLevel="1" x14ac:dyDescent="0.2">
      <c r="B179" s="26"/>
      <c r="C179" s="27" t="s">
        <v>331</v>
      </c>
      <c r="D179" s="78"/>
      <c r="E179" s="78"/>
      <c r="F179" s="21"/>
      <c r="G179" s="46"/>
      <c r="H179" s="80"/>
      <c r="I179" s="20"/>
      <c r="K179" s="66"/>
      <c r="L179" s="81"/>
    </row>
    <row r="180" spans="2:20" s="19" customFormat="1" ht="15.75" outlineLevel="2" x14ac:dyDescent="0.2">
      <c r="B180" s="26"/>
      <c r="C180" s="143" t="s">
        <v>2</v>
      </c>
      <c r="D180" s="143" t="s">
        <v>99</v>
      </c>
      <c r="E180" s="143"/>
      <c r="F180" s="143" t="s">
        <v>451</v>
      </c>
      <c r="G180" s="145" t="s">
        <v>3</v>
      </c>
      <c r="H180" s="146">
        <v>0.8</v>
      </c>
      <c r="K180" s="20"/>
      <c r="L180" s="20"/>
    </row>
    <row r="181" spans="2:20" s="19" customFormat="1" ht="15.75" outlineLevel="2" x14ac:dyDescent="0.2">
      <c r="B181" s="26"/>
      <c r="C181" s="167" t="s">
        <v>8</v>
      </c>
      <c r="D181" s="170" t="s">
        <v>651</v>
      </c>
      <c r="E181" s="170" t="s">
        <v>785</v>
      </c>
      <c r="F181" s="168" t="s">
        <v>650</v>
      </c>
      <c r="G181" s="165" t="s">
        <v>558</v>
      </c>
      <c r="H181" s="169">
        <f>H180/H84</f>
        <v>0.93279347628371201</v>
      </c>
      <c r="K181" s="20"/>
      <c r="L181" s="20"/>
    </row>
    <row r="182" spans="2:20" s="20" customFormat="1" outlineLevel="2" x14ac:dyDescent="0.2">
      <c r="B182" s="26"/>
      <c r="C182" s="32"/>
      <c r="D182" s="29"/>
      <c r="E182" s="29"/>
      <c r="F182" s="28"/>
      <c r="G182" s="30"/>
      <c r="H182" s="18"/>
    </row>
    <row r="183" spans="2:20" s="19" customFormat="1" x14ac:dyDescent="0.2">
      <c r="B183" s="26" t="s">
        <v>380</v>
      </c>
      <c r="F183" s="23"/>
      <c r="G183" s="22"/>
      <c r="L183" s="22"/>
      <c r="M183" s="22"/>
      <c r="N183" s="22"/>
      <c r="O183" s="22"/>
      <c r="P183" s="22"/>
      <c r="Q183" s="22"/>
      <c r="R183" s="22"/>
      <c r="S183" s="22"/>
      <c r="T183" s="22"/>
    </row>
    <row r="184" spans="2:20" s="19" customFormat="1" outlineLevel="1" x14ac:dyDescent="0.2">
      <c r="B184" s="26"/>
      <c r="C184" s="27" t="s">
        <v>342</v>
      </c>
      <c r="G184" s="46"/>
      <c r="H184" s="73"/>
      <c r="K184" s="20"/>
      <c r="L184" s="20"/>
    </row>
    <row r="185" spans="2:20" s="19" customFormat="1" ht="15.75" outlineLevel="2" x14ac:dyDescent="0.2">
      <c r="B185" s="26"/>
      <c r="C185" s="167" t="s">
        <v>8</v>
      </c>
      <c r="D185" s="170" t="s">
        <v>513</v>
      </c>
      <c r="E185" s="170" t="s">
        <v>786</v>
      </c>
      <c r="F185" s="168" t="s">
        <v>256</v>
      </c>
      <c r="G185" s="165" t="s">
        <v>3</v>
      </c>
      <c r="H185" s="169">
        <f>H25+(H61/H110)</f>
        <v>86.798534705095591</v>
      </c>
      <c r="K185" s="20"/>
      <c r="L185" s="20"/>
    </row>
    <row r="186" spans="2:20" s="19" customFormat="1" ht="15.75" outlineLevel="2" x14ac:dyDescent="0.2">
      <c r="B186" s="26"/>
      <c r="C186" s="167" t="s">
        <v>8</v>
      </c>
      <c r="D186" s="170" t="s">
        <v>514</v>
      </c>
      <c r="E186" s="170"/>
      <c r="F186" s="168" t="s">
        <v>472</v>
      </c>
      <c r="G186" s="165" t="s">
        <v>10</v>
      </c>
      <c r="H186" s="169">
        <f>H148</f>
        <v>1.9032152630262982</v>
      </c>
      <c r="I186" s="73"/>
      <c r="K186" s="20"/>
      <c r="L186" s="20"/>
    </row>
    <row r="187" spans="2:20" s="19" customFormat="1" ht="15.75" outlineLevel="2" x14ac:dyDescent="0.2">
      <c r="B187" s="82"/>
      <c r="C187" s="143" t="s">
        <v>2</v>
      </c>
      <c r="D187" s="143" t="s">
        <v>332</v>
      </c>
      <c r="E187" s="143"/>
      <c r="F187" s="143" t="s">
        <v>452</v>
      </c>
      <c r="G187" s="145" t="s">
        <v>3</v>
      </c>
      <c r="H187" s="146">
        <v>0.3</v>
      </c>
      <c r="K187" s="20"/>
      <c r="L187" s="20"/>
    </row>
    <row r="188" spans="2:20" s="19" customFormat="1" ht="15.75" outlineLevel="2" x14ac:dyDescent="0.2">
      <c r="B188" s="82"/>
      <c r="C188" s="143" t="s">
        <v>2</v>
      </c>
      <c r="D188" s="143" t="s">
        <v>70</v>
      </c>
      <c r="E188" s="143"/>
      <c r="F188" s="143" t="s">
        <v>453</v>
      </c>
      <c r="G188" s="145"/>
      <c r="H188" s="146">
        <v>20</v>
      </c>
      <c r="K188" s="20"/>
      <c r="L188" s="20"/>
    </row>
    <row r="189" spans="2:20" s="19" customFormat="1" ht="15.75" outlineLevel="2" x14ac:dyDescent="0.2">
      <c r="B189" s="82"/>
      <c r="C189" s="167" t="s">
        <v>8</v>
      </c>
      <c r="D189" s="170" t="s">
        <v>333</v>
      </c>
      <c r="E189" s="170" t="s">
        <v>787</v>
      </c>
      <c r="F189" s="168" t="s">
        <v>259</v>
      </c>
      <c r="G189" s="165" t="s">
        <v>10</v>
      </c>
      <c r="H189" s="169">
        <f>SQRT(H186^2-H26^2)</f>
        <v>1.7126962186611674</v>
      </c>
      <c r="K189" s="20"/>
      <c r="L189" s="20"/>
    </row>
    <row r="190" spans="2:20" s="19" customFormat="1" ht="15.75" outlineLevel="2" x14ac:dyDescent="0.2">
      <c r="B190" s="82"/>
      <c r="C190" s="167" t="s">
        <v>8</v>
      </c>
      <c r="D190" s="170" t="s">
        <v>563</v>
      </c>
      <c r="E190" s="170" t="s">
        <v>788</v>
      </c>
      <c r="F190" s="168" t="s">
        <v>261</v>
      </c>
      <c r="G190" s="165" t="s">
        <v>9</v>
      </c>
      <c r="H190" s="177">
        <f>(H26*H188/(H187*H53))*1000000</f>
        <v>553.33333333333326</v>
      </c>
      <c r="I190" s="73"/>
      <c r="K190" s="20"/>
      <c r="L190" s="20"/>
    </row>
    <row r="191" spans="2:20" s="19" customFormat="1" ht="15.75" outlineLevel="2" x14ac:dyDescent="0.2">
      <c r="B191" s="82"/>
      <c r="C191" s="143" t="s">
        <v>2</v>
      </c>
      <c r="D191" s="143" t="s">
        <v>652</v>
      </c>
      <c r="E191" s="143"/>
      <c r="F191" s="143" t="s">
        <v>454</v>
      </c>
      <c r="G191" s="145" t="s">
        <v>9</v>
      </c>
      <c r="H191" s="146">
        <v>680</v>
      </c>
      <c r="I191" s="73"/>
      <c r="K191" s="20"/>
      <c r="L191" s="20"/>
    </row>
    <row r="192" spans="2:20" s="19" customFormat="1" ht="15.75" outlineLevel="2" x14ac:dyDescent="0.2">
      <c r="B192" s="82"/>
      <c r="C192" s="143" t="s">
        <v>2</v>
      </c>
      <c r="D192" s="143" t="s">
        <v>94</v>
      </c>
      <c r="E192" s="143"/>
      <c r="F192" s="143" t="s">
        <v>455</v>
      </c>
      <c r="G192" s="145" t="s">
        <v>558</v>
      </c>
      <c r="H192" s="146">
        <v>3.2000000000000001E-2</v>
      </c>
      <c r="I192" s="73"/>
      <c r="K192" s="20"/>
      <c r="L192" s="20"/>
    </row>
    <row r="193" spans="2:19" s="19" customFormat="1" ht="15.75" outlineLevel="2" x14ac:dyDescent="0.2">
      <c r="B193" s="82"/>
      <c r="C193" s="143" t="s">
        <v>2</v>
      </c>
      <c r="D193" s="143" t="s">
        <v>69</v>
      </c>
      <c r="E193" s="143"/>
      <c r="F193" s="143" t="s">
        <v>697</v>
      </c>
      <c r="G193" s="145"/>
      <c r="H193" s="146">
        <v>1</v>
      </c>
      <c r="I193" s="72"/>
      <c r="K193" s="20"/>
      <c r="L193" s="20"/>
    </row>
    <row r="194" spans="2:19" s="19" customFormat="1" ht="15.75" outlineLevel="2" x14ac:dyDescent="0.2">
      <c r="B194" s="82"/>
      <c r="C194" s="167" t="s">
        <v>8</v>
      </c>
      <c r="D194" s="170" t="s">
        <v>334</v>
      </c>
      <c r="E194" s="170" t="s">
        <v>789</v>
      </c>
      <c r="F194" s="168" t="s">
        <v>335</v>
      </c>
      <c r="G194" s="165" t="s">
        <v>40</v>
      </c>
      <c r="H194" s="169">
        <f>1/(2*PI()*H192*H191*10^(-6)*1000)</f>
        <v>7.3141058406201909</v>
      </c>
      <c r="K194" s="20"/>
      <c r="L194" s="20"/>
    </row>
    <row r="195" spans="2:19" s="19" customFormat="1" ht="15.75" outlineLevel="2" x14ac:dyDescent="0.2">
      <c r="B195" s="82"/>
      <c r="C195" s="167" t="s">
        <v>8</v>
      </c>
      <c r="D195" s="170" t="s">
        <v>336</v>
      </c>
      <c r="E195" s="170" t="s">
        <v>790</v>
      </c>
      <c r="F195" s="168" t="s">
        <v>339</v>
      </c>
      <c r="G195" s="165" t="s">
        <v>3</v>
      </c>
      <c r="H195" s="173">
        <f>H147*H192/H193</f>
        <v>0.15369839281324671</v>
      </c>
      <c r="K195" s="20"/>
      <c r="L195" s="20"/>
    </row>
    <row r="196" spans="2:19" s="19" customFormat="1" ht="15.75" outlineLevel="2" x14ac:dyDescent="0.2">
      <c r="B196" s="82"/>
      <c r="C196" s="143" t="s">
        <v>2</v>
      </c>
      <c r="D196" s="143" t="s">
        <v>653</v>
      </c>
      <c r="E196" s="143"/>
      <c r="F196" s="143" t="s">
        <v>456</v>
      </c>
      <c r="G196" s="145" t="s">
        <v>41</v>
      </c>
      <c r="H196" s="146">
        <v>2.2000000000000002</v>
      </c>
      <c r="J196" s="83"/>
      <c r="K196" s="20"/>
      <c r="L196" s="20"/>
    </row>
    <row r="197" spans="2:19" ht="15.75" outlineLevel="2" x14ac:dyDescent="0.2">
      <c r="B197" s="82"/>
      <c r="C197" s="167" t="s">
        <v>8</v>
      </c>
      <c r="D197" s="170" t="s">
        <v>337</v>
      </c>
      <c r="E197" s="170" t="s">
        <v>791</v>
      </c>
      <c r="F197" s="168" t="s">
        <v>338</v>
      </c>
      <c r="G197" s="165" t="s">
        <v>159</v>
      </c>
      <c r="H197" s="172">
        <f>(H192*H191)^2/H196</f>
        <v>215.22618181818183</v>
      </c>
      <c r="I197" s="73"/>
      <c r="J197" s="19"/>
      <c r="K197" s="20"/>
      <c r="L197" s="20"/>
      <c r="M197" s="19"/>
      <c r="N197" s="19"/>
      <c r="O197" s="19"/>
      <c r="P197" s="19"/>
      <c r="Q197" s="19"/>
      <c r="R197" s="19"/>
      <c r="S197" s="19"/>
    </row>
    <row r="198" spans="2:19" ht="15.75" outlineLevel="2" x14ac:dyDescent="0.2">
      <c r="B198" s="82"/>
      <c r="C198" s="143" t="s">
        <v>2</v>
      </c>
      <c r="D198" s="143" t="s">
        <v>654</v>
      </c>
      <c r="E198" s="143"/>
      <c r="F198" s="143" t="s">
        <v>457</v>
      </c>
      <c r="G198" s="145" t="s">
        <v>9</v>
      </c>
      <c r="H198" s="149">
        <v>680</v>
      </c>
      <c r="I198" s="73"/>
      <c r="J198" s="19"/>
      <c r="K198" s="20"/>
      <c r="L198" s="20"/>
      <c r="M198" s="19"/>
      <c r="N198" s="19"/>
      <c r="O198" s="19"/>
      <c r="P198" s="19"/>
      <c r="Q198" s="19"/>
      <c r="R198" s="19"/>
      <c r="S198" s="19"/>
    </row>
    <row r="199" spans="2:19" ht="15.75" outlineLevel="2" x14ac:dyDescent="0.2">
      <c r="B199" s="82"/>
      <c r="C199" s="167" t="s">
        <v>8</v>
      </c>
      <c r="D199" s="170" t="s">
        <v>341</v>
      </c>
      <c r="E199" s="170" t="s">
        <v>792</v>
      </c>
      <c r="F199" s="168" t="s">
        <v>340</v>
      </c>
      <c r="G199" s="165" t="s">
        <v>40</v>
      </c>
      <c r="H199" s="169">
        <f>1/(1000*2*PI()*SQRT((H196*10^-6*H198*10^-6)))</f>
        <v>4.1148530937338448</v>
      </c>
      <c r="I199" s="73"/>
      <c r="J199" s="19"/>
      <c r="K199" s="20"/>
      <c r="L199" s="20"/>
      <c r="M199" s="19"/>
      <c r="N199" s="19"/>
      <c r="O199" s="19"/>
      <c r="P199" s="19"/>
      <c r="Q199" s="19"/>
      <c r="R199" s="19"/>
      <c r="S199" s="19"/>
    </row>
    <row r="200" spans="2:19" ht="15.75" outlineLevel="2" x14ac:dyDescent="0.2">
      <c r="B200" s="82"/>
      <c r="C200" s="167" t="s">
        <v>8</v>
      </c>
      <c r="D200" s="170" t="s">
        <v>695</v>
      </c>
      <c r="E200" s="170" t="s">
        <v>793</v>
      </c>
      <c r="F200" s="168" t="s">
        <v>401</v>
      </c>
      <c r="G200" s="165" t="s">
        <v>42</v>
      </c>
      <c r="H200" s="169">
        <f>(H195*(1/(2*PI()*H53*H198*10^-6))/((1/(2*PI()*H53*H198*10^-6))+(2*PI()*H53*H196*10^-6)))*1000</f>
        <v>0.25980246641632088</v>
      </c>
      <c r="I200" s="73"/>
      <c r="J200" s="19"/>
      <c r="K200" s="20"/>
      <c r="L200" s="20"/>
      <c r="M200" s="19"/>
      <c r="N200" s="19"/>
      <c r="O200" s="19"/>
      <c r="P200" s="19"/>
      <c r="Q200" s="19"/>
      <c r="R200" s="19"/>
      <c r="S200" s="19"/>
    </row>
    <row r="201" spans="2:19" s="85" customFormat="1" outlineLevel="2" x14ac:dyDescent="0.2">
      <c r="B201" s="82"/>
      <c r="C201" s="32"/>
      <c r="D201" s="29"/>
      <c r="E201" s="29"/>
      <c r="F201" s="28"/>
      <c r="G201" s="30"/>
      <c r="H201" s="18"/>
      <c r="I201" s="73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2:19" s="19" customFormat="1" outlineLevel="1" x14ac:dyDescent="0.2">
      <c r="B202" s="26"/>
      <c r="C202" s="27" t="s">
        <v>343</v>
      </c>
      <c r="G202" s="46"/>
      <c r="H202" s="73"/>
      <c r="K202" s="20"/>
      <c r="L202" s="20"/>
    </row>
    <row r="203" spans="2:19" s="19" customFormat="1" ht="15.75" outlineLevel="2" x14ac:dyDescent="0.2">
      <c r="B203" s="26"/>
      <c r="C203" s="167" t="s">
        <v>8</v>
      </c>
      <c r="D203" s="170" t="s">
        <v>513</v>
      </c>
      <c r="E203" s="170" t="s">
        <v>794</v>
      </c>
      <c r="F203" s="168" t="s">
        <v>257</v>
      </c>
      <c r="G203" s="165" t="s">
        <v>3</v>
      </c>
      <c r="H203" s="169">
        <f>H33+(H61/H111)</f>
        <v>28.932844901698534</v>
      </c>
      <c r="I203" s="73"/>
      <c r="K203" s="20"/>
      <c r="L203" s="20"/>
    </row>
    <row r="204" spans="2:19" s="19" customFormat="1" ht="15.75" outlineLevel="2" x14ac:dyDescent="0.2">
      <c r="B204" s="26"/>
      <c r="C204" s="167" t="s">
        <v>8</v>
      </c>
      <c r="D204" s="170" t="s">
        <v>514</v>
      </c>
      <c r="E204" s="170"/>
      <c r="F204" s="168" t="s">
        <v>251</v>
      </c>
      <c r="G204" s="165" t="s">
        <v>10</v>
      </c>
      <c r="H204" s="169">
        <f>H162</f>
        <v>0.91721217495243279</v>
      </c>
      <c r="I204" s="73"/>
      <c r="K204" s="20"/>
      <c r="L204" s="20"/>
    </row>
    <row r="205" spans="2:19" s="19" customFormat="1" ht="15.75" outlineLevel="2" x14ac:dyDescent="0.2">
      <c r="B205" s="82"/>
      <c r="C205" s="143" t="s">
        <v>2</v>
      </c>
      <c r="D205" s="143" t="s">
        <v>332</v>
      </c>
      <c r="E205" s="143"/>
      <c r="F205" s="143" t="s">
        <v>452</v>
      </c>
      <c r="G205" s="145" t="s">
        <v>3</v>
      </c>
      <c r="H205" s="146">
        <v>0.15</v>
      </c>
      <c r="K205" s="20"/>
      <c r="L205" s="20"/>
    </row>
    <row r="206" spans="2:19" s="19" customFormat="1" ht="15.75" outlineLevel="2" x14ac:dyDescent="0.2">
      <c r="B206" s="82"/>
      <c r="C206" s="143" t="s">
        <v>2</v>
      </c>
      <c r="D206" s="143" t="s">
        <v>70</v>
      </c>
      <c r="E206" s="143"/>
      <c r="F206" s="143" t="s">
        <v>458</v>
      </c>
      <c r="G206" s="145"/>
      <c r="H206" s="146">
        <v>20</v>
      </c>
      <c r="K206" s="20"/>
      <c r="L206" s="20"/>
    </row>
    <row r="207" spans="2:19" s="19" customFormat="1" ht="15.75" outlineLevel="2" x14ac:dyDescent="0.2">
      <c r="B207" s="82"/>
      <c r="C207" s="167" t="s">
        <v>8</v>
      </c>
      <c r="D207" s="170" t="s">
        <v>333</v>
      </c>
      <c r="E207" s="170" t="s">
        <v>795</v>
      </c>
      <c r="F207" s="168" t="s">
        <v>260</v>
      </c>
      <c r="G207" s="165" t="s">
        <v>10</v>
      </c>
      <c r="H207" s="169">
        <f>SQRT(H204^2-H34^2)</f>
        <v>0.82539576802947812</v>
      </c>
      <c r="K207" s="20"/>
      <c r="L207" s="20"/>
    </row>
    <row r="208" spans="2:19" s="19" customFormat="1" ht="15.75" outlineLevel="2" x14ac:dyDescent="0.2">
      <c r="B208" s="82"/>
      <c r="C208" s="167" t="s">
        <v>8</v>
      </c>
      <c r="D208" s="170" t="s">
        <v>563</v>
      </c>
      <c r="E208" s="170" t="s">
        <v>796</v>
      </c>
      <c r="F208" s="168" t="s">
        <v>344</v>
      </c>
      <c r="G208" s="165" t="s">
        <v>9</v>
      </c>
      <c r="H208" s="177">
        <f>(H34*H206/(H205*H53))*1000000</f>
        <v>533.33333333333337</v>
      </c>
      <c r="I208" s="73"/>
      <c r="K208" s="20"/>
      <c r="L208" s="20"/>
    </row>
    <row r="209" spans="2:19" s="19" customFormat="1" ht="15.75" outlineLevel="2" x14ac:dyDescent="0.2">
      <c r="B209" s="82"/>
      <c r="C209" s="143" t="s">
        <v>2</v>
      </c>
      <c r="D209" s="143" t="s">
        <v>652</v>
      </c>
      <c r="E209" s="143"/>
      <c r="F209" s="143" t="s">
        <v>459</v>
      </c>
      <c r="G209" s="145" t="s">
        <v>9</v>
      </c>
      <c r="H209" s="146">
        <v>680</v>
      </c>
      <c r="I209" s="73"/>
      <c r="K209" s="20"/>
      <c r="L209" s="20"/>
    </row>
    <row r="210" spans="2:19" s="19" customFormat="1" ht="15.75" outlineLevel="2" x14ac:dyDescent="0.2">
      <c r="B210" s="82"/>
      <c r="C210" s="143" t="s">
        <v>2</v>
      </c>
      <c r="D210" s="143" t="s">
        <v>94</v>
      </c>
      <c r="E210" s="143"/>
      <c r="F210" s="143" t="s">
        <v>460</v>
      </c>
      <c r="G210" s="145" t="s">
        <v>558</v>
      </c>
      <c r="H210" s="146">
        <v>3.2000000000000001E-2</v>
      </c>
      <c r="I210" s="73"/>
      <c r="K210" s="20"/>
      <c r="L210" s="20"/>
    </row>
    <row r="211" spans="2:19" s="19" customFormat="1" ht="15.75" outlineLevel="2" x14ac:dyDescent="0.2">
      <c r="B211" s="82"/>
      <c r="C211" s="143" t="s">
        <v>2</v>
      </c>
      <c r="D211" s="143" t="s">
        <v>69</v>
      </c>
      <c r="E211" s="143"/>
      <c r="F211" s="143" t="s">
        <v>696</v>
      </c>
      <c r="G211" s="145"/>
      <c r="H211" s="146">
        <v>1</v>
      </c>
      <c r="I211" s="72"/>
      <c r="K211" s="20"/>
      <c r="L211" s="20"/>
    </row>
    <row r="212" spans="2:19" s="19" customFormat="1" ht="15.75" outlineLevel="2" x14ac:dyDescent="0.2">
      <c r="B212" s="82"/>
      <c r="C212" s="167" t="s">
        <v>8</v>
      </c>
      <c r="D212" s="170" t="s">
        <v>334</v>
      </c>
      <c r="E212" s="170" t="s">
        <v>797</v>
      </c>
      <c r="F212" s="168" t="s">
        <v>345</v>
      </c>
      <c r="G212" s="165" t="s">
        <v>40</v>
      </c>
      <c r="H212" s="169">
        <f>1/(2*PI()*H210*H209*10^(-6)*1000)</f>
        <v>7.3141058406201909</v>
      </c>
      <c r="K212" s="20"/>
      <c r="L212" s="20"/>
    </row>
    <row r="213" spans="2:19" s="19" customFormat="1" ht="15.75" outlineLevel="2" x14ac:dyDescent="0.2">
      <c r="B213" s="82"/>
      <c r="C213" s="167" t="s">
        <v>8</v>
      </c>
      <c r="D213" s="170" t="s">
        <v>336</v>
      </c>
      <c r="E213" s="170" t="s">
        <v>798</v>
      </c>
      <c r="F213" s="168" t="s">
        <v>346</v>
      </c>
      <c r="G213" s="165" t="s">
        <v>3</v>
      </c>
      <c r="H213" s="169">
        <f>H161*H210/H211</f>
        <v>7.4071514608793604E-2</v>
      </c>
      <c r="K213" s="20"/>
      <c r="L213" s="20"/>
    </row>
    <row r="214" spans="2:19" s="19" customFormat="1" ht="15.75" outlineLevel="2" x14ac:dyDescent="0.2">
      <c r="B214" s="82"/>
      <c r="C214" s="143" t="s">
        <v>2</v>
      </c>
      <c r="D214" s="143" t="s">
        <v>653</v>
      </c>
      <c r="E214" s="143"/>
      <c r="F214" s="143" t="s">
        <v>461</v>
      </c>
      <c r="G214" s="145" t="s">
        <v>41</v>
      </c>
      <c r="H214" s="146">
        <v>2.2000000000000002</v>
      </c>
      <c r="K214" s="20"/>
      <c r="L214" s="20"/>
    </row>
    <row r="215" spans="2:19" ht="15.75" outlineLevel="2" x14ac:dyDescent="0.2">
      <c r="B215" s="82"/>
      <c r="C215" s="167" t="s">
        <v>8</v>
      </c>
      <c r="D215" s="170" t="s">
        <v>337</v>
      </c>
      <c r="E215" s="170" t="s">
        <v>799</v>
      </c>
      <c r="F215" s="168" t="s">
        <v>347</v>
      </c>
      <c r="G215" s="165" t="s">
        <v>159</v>
      </c>
      <c r="H215" s="172">
        <f>(H210*H209)^2/H214</f>
        <v>215.22618181818183</v>
      </c>
      <c r="I215" s="73"/>
      <c r="J215" s="19"/>
      <c r="K215" s="20"/>
      <c r="L215" s="20"/>
      <c r="M215" s="19"/>
      <c r="N215" s="19"/>
      <c r="O215" s="19"/>
      <c r="P215" s="19"/>
      <c r="Q215" s="19"/>
      <c r="R215" s="19"/>
      <c r="S215" s="19"/>
    </row>
    <row r="216" spans="2:19" ht="15.75" outlineLevel="2" x14ac:dyDescent="0.2">
      <c r="B216" s="82"/>
      <c r="C216" s="143" t="s">
        <v>2</v>
      </c>
      <c r="D216" s="143" t="s">
        <v>654</v>
      </c>
      <c r="E216" s="143"/>
      <c r="F216" s="143" t="s">
        <v>462</v>
      </c>
      <c r="G216" s="145" t="s">
        <v>9</v>
      </c>
      <c r="H216" s="149">
        <v>330</v>
      </c>
      <c r="I216" s="73"/>
      <c r="J216" s="19"/>
      <c r="K216" s="20"/>
      <c r="L216" s="20"/>
      <c r="M216" s="19"/>
      <c r="N216" s="19"/>
      <c r="O216" s="19"/>
      <c r="P216" s="19"/>
      <c r="Q216" s="19"/>
      <c r="R216" s="19"/>
      <c r="S216" s="19"/>
    </row>
    <row r="217" spans="2:19" ht="15.75" outlineLevel="2" x14ac:dyDescent="0.2">
      <c r="B217" s="82"/>
      <c r="C217" s="167" t="s">
        <v>8</v>
      </c>
      <c r="D217" s="170" t="s">
        <v>341</v>
      </c>
      <c r="E217" s="170" t="s">
        <v>800</v>
      </c>
      <c r="F217" s="168" t="s">
        <v>348</v>
      </c>
      <c r="G217" s="165" t="s">
        <v>40</v>
      </c>
      <c r="H217" s="169">
        <f>1/(1000*2*PI()*SQRT((H214*10^-6*H216*10^-6)))</f>
        <v>5.9067939487399714</v>
      </c>
      <c r="I217" s="73"/>
      <c r="J217" s="19"/>
      <c r="K217" s="20"/>
      <c r="L217" s="20"/>
      <c r="M217" s="19"/>
      <c r="N217" s="19"/>
      <c r="O217" s="19"/>
      <c r="P217" s="19"/>
      <c r="Q217" s="19"/>
      <c r="R217" s="19"/>
      <c r="S217" s="19"/>
    </row>
    <row r="218" spans="2:19" ht="15.75" outlineLevel="2" x14ac:dyDescent="0.2">
      <c r="B218" s="82"/>
      <c r="C218" s="167" t="s">
        <v>8</v>
      </c>
      <c r="D218" s="170" t="s">
        <v>695</v>
      </c>
      <c r="E218" s="170" t="s">
        <v>801</v>
      </c>
      <c r="F218" s="168" t="s">
        <v>402</v>
      </c>
      <c r="G218" s="165" t="s">
        <v>42</v>
      </c>
      <c r="H218" s="169">
        <f>(H213*(1/(2*PI()*H53*H216*10^-6))/((1/(2*PI()*H53*H216*10^-6))+(2*PI()*H53*H214*10^-6)))*1000</f>
        <v>0.25753854765364625</v>
      </c>
      <c r="I218" s="73"/>
      <c r="J218" s="19"/>
      <c r="K218" s="20"/>
      <c r="L218" s="20"/>
      <c r="M218" s="19"/>
      <c r="N218" s="19"/>
      <c r="O218" s="19"/>
      <c r="P218" s="19"/>
      <c r="Q218" s="19"/>
      <c r="R218" s="19"/>
      <c r="S218" s="19"/>
    </row>
    <row r="219" spans="2:19" s="85" customFormat="1" outlineLevel="2" x14ac:dyDescent="0.2">
      <c r="B219" s="82"/>
      <c r="C219" s="32"/>
      <c r="D219" s="29"/>
      <c r="E219" s="29"/>
      <c r="F219" s="28"/>
      <c r="G219" s="30"/>
      <c r="H219" s="18"/>
      <c r="I219" s="73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2:19" s="19" customFormat="1" x14ac:dyDescent="0.2">
      <c r="B220" s="27" t="s">
        <v>349</v>
      </c>
      <c r="G220" s="46"/>
      <c r="H220" s="73"/>
      <c r="K220" s="20"/>
      <c r="L220" s="20"/>
    </row>
    <row r="221" spans="2:19" s="19" customFormat="1" outlineLevel="1" x14ac:dyDescent="0.2">
      <c r="B221" s="27"/>
      <c r="C221" s="27" t="s">
        <v>349</v>
      </c>
      <c r="G221" s="46"/>
      <c r="H221" s="73"/>
      <c r="K221" s="20"/>
      <c r="L221" s="20"/>
    </row>
    <row r="222" spans="2:19" s="19" customFormat="1" ht="15.75" outlineLevel="2" x14ac:dyDescent="0.2">
      <c r="B222" s="26"/>
      <c r="C222" s="167" t="s">
        <v>8</v>
      </c>
      <c r="D222" s="170" t="s">
        <v>655</v>
      </c>
      <c r="E222" s="170" t="s">
        <v>802</v>
      </c>
      <c r="F222" s="168" t="s">
        <v>258</v>
      </c>
      <c r="G222" s="165" t="s">
        <v>3</v>
      </c>
      <c r="H222" s="169">
        <f>H107+(H61*H106/H100)</f>
        <v>79.515323479670968</v>
      </c>
      <c r="I222" s="73"/>
      <c r="K222" s="20"/>
      <c r="L222" s="20"/>
    </row>
    <row r="223" spans="2:19" s="19" customFormat="1" ht="15.75" outlineLevel="2" x14ac:dyDescent="0.2">
      <c r="B223" s="26"/>
      <c r="C223" s="143" t="s">
        <v>2</v>
      </c>
      <c r="D223" s="143" t="s">
        <v>350</v>
      </c>
      <c r="E223" s="143"/>
      <c r="F223" s="143" t="s">
        <v>698</v>
      </c>
      <c r="G223" s="145" t="s">
        <v>11</v>
      </c>
      <c r="H223" s="146">
        <v>12</v>
      </c>
      <c r="I223" s="20"/>
      <c r="K223" s="20"/>
      <c r="L223" s="20"/>
    </row>
    <row r="224" spans="2:19" s="19" customFormat="1" ht="15.75" outlineLevel="2" x14ac:dyDescent="0.2">
      <c r="B224" s="26"/>
      <c r="C224" s="143" t="s">
        <v>2</v>
      </c>
      <c r="D224" s="143" t="s">
        <v>861</v>
      </c>
      <c r="E224" s="143"/>
      <c r="F224" s="143" t="s">
        <v>862</v>
      </c>
      <c r="G224" s="145" t="s">
        <v>74</v>
      </c>
      <c r="H224" s="146">
        <v>3</v>
      </c>
      <c r="I224" s="20"/>
      <c r="K224" s="20"/>
      <c r="L224" s="20"/>
    </row>
    <row r="225" spans="2:12" s="19" customFormat="1" ht="15.75" outlineLevel="2" x14ac:dyDescent="0.2">
      <c r="B225" s="26"/>
      <c r="C225" s="143" t="s">
        <v>2</v>
      </c>
      <c r="D225" s="143" t="s">
        <v>699</v>
      </c>
      <c r="E225" s="143"/>
      <c r="F225" s="143" t="s">
        <v>701</v>
      </c>
      <c r="G225" s="145" t="s">
        <v>3</v>
      </c>
      <c r="H225" s="149">
        <v>16</v>
      </c>
      <c r="J225" s="20"/>
      <c r="K225" s="20"/>
    </row>
    <row r="226" spans="2:12" s="19" customFormat="1" ht="15.75" outlineLevel="2" x14ac:dyDescent="0.2">
      <c r="B226" s="26"/>
      <c r="C226" s="143" t="s">
        <v>2</v>
      </c>
      <c r="D226" s="143" t="s">
        <v>700</v>
      </c>
      <c r="E226" s="143"/>
      <c r="F226" s="143" t="s">
        <v>702</v>
      </c>
      <c r="G226" s="145" t="s">
        <v>3</v>
      </c>
      <c r="H226" s="149">
        <v>10</v>
      </c>
      <c r="J226" s="20"/>
      <c r="K226" s="20"/>
    </row>
    <row r="227" spans="2:12" s="19" customFormat="1" ht="15.75" outlineLevel="2" x14ac:dyDescent="0.2">
      <c r="B227" s="26"/>
      <c r="C227" s="167" t="s">
        <v>8</v>
      </c>
      <c r="D227" s="170" t="s">
        <v>463</v>
      </c>
      <c r="E227" s="170" t="s">
        <v>803</v>
      </c>
      <c r="F227" s="168" t="s">
        <v>351</v>
      </c>
      <c r="G227" s="165" t="s">
        <v>9</v>
      </c>
      <c r="H227" s="169">
        <f>H224*H223/(H225-H226)</f>
        <v>6</v>
      </c>
      <c r="K227" s="20"/>
      <c r="L227" s="20"/>
    </row>
    <row r="228" spans="2:12" s="19" customFormat="1" ht="15.75" outlineLevel="2" x14ac:dyDescent="0.2">
      <c r="B228" s="26"/>
      <c r="C228" s="143" t="s">
        <v>2</v>
      </c>
      <c r="D228" s="143" t="s">
        <v>656</v>
      </c>
      <c r="E228" s="143"/>
      <c r="F228" s="143" t="s">
        <v>88</v>
      </c>
      <c r="G228" s="145" t="s">
        <v>9</v>
      </c>
      <c r="H228" s="150">
        <v>22</v>
      </c>
      <c r="K228" s="20"/>
      <c r="L228" s="20"/>
    </row>
    <row r="229" spans="2:12" s="19" customFormat="1" ht="15.75" outlineLevel="2" x14ac:dyDescent="0.2">
      <c r="B229" s="26"/>
      <c r="C229" s="143" t="s">
        <v>2</v>
      </c>
      <c r="D229" s="143" t="s">
        <v>706</v>
      </c>
      <c r="E229" s="143"/>
      <c r="F229" s="143" t="s">
        <v>705</v>
      </c>
      <c r="G229" s="145" t="s">
        <v>3</v>
      </c>
      <c r="H229" s="146">
        <v>1.1000000000000001</v>
      </c>
      <c r="K229" s="20"/>
      <c r="L229" s="20"/>
    </row>
    <row r="230" spans="2:12" s="19" customFormat="1" ht="15.75" outlineLevel="2" x14ac:dyDescent="0.2">
      <c r="B230" s="26"/>
      <c r="C230" s="143" t="s">
        <v>2</v>
      </c>
      <c r="D230" s="143" t="s">
        <v>703</v>
      </c>
      <c r="E230" s="143"/>
      <c r="F230" s="143" t="s">
        <v>704</v>
      </c>
      <c r="G230" s="145" t="s">
        <v>74</v>
      </c>
      <c r="H230" s="146">
        <v>0.2</v>
      </c>
      <c r="K230" s="20"/>
      <c r="L230" s="20"/>
    </row>
    <row r="231" spans="2:12" s="19" customFormat="1" ht="15.75" outlineLevel="2" x14ac:dyDescent="0.2">
      <c r="B231" s="26"/>
      <c r="C231" s="167" t="s">
        <v>8</v>
      </c>
      <c r="D231" s="170" t="s">
        <v>352</v>
      </c>
      <c r="E231" s="170" t="s">
        <v>804</v>
      </c>
      <c r="F231" s="168" t="s">
        <v>473</v>
      </c>
      <c r="G231" s="165" t="s">
        <v>11</v>
      </c>
      <c r="H231" s="171">
        <f>H229*H228/H230+(H225-H229)*H228/H224</f>
        <v>230.26666666666668</v>
      </c>
      <c r="K231" s="20"/>
      <c r="L231" s="20"/>
    </row>
    <row r="232" spans="2:12" s="20" customFormat="1" outlineLevel="2" x14ac:dyDescent="0.2">
      <c r="B232" s="26"/>
      <c r="C232" s="32"/>
      <c r="D232" s="29"/>
      <c r="E232" s="29"/>
      <c r="F232" s="28"/>
      <c r="G232" s="30"/>
      <c r="H232" s="69"/>
    </row>
    <row r="233" spans="2:12" s="19" customFormat="1" x14ac:dyDescent="0.2">
      <c r="B233" s="27" t="s">
        <v>91</v>
      </c>
      <c r="D233" s="25"/>
      <c r="E233" s="25"/>
      <c r="F233" s="20"/>
      <c r="G233" s="46"/>
      <c r="H233" s="65"/>
      <c r="K233" s="20"/>
      <c r="L233" s="20"/>
    </row>
    <row r="234" spans="2:12" s="19" customFormat="1" outlineLevel="1" x14ac:dyDescent="0.2">
      <c r="B234" s="26"/>
      <c r="C234" s="27" t="s">
        <v>43</v>
      </c>
      <c r="K234" s="20"/>
      <c r="L234" s="20"/>
    </row>
    <row r="235" spans="2:12" s="19" customFormat="1" ht="15.75" outlineLevel="2" x14ac:dyDescent="0.2">
      <c r="B235" s="26"/>
      <c r="C235" s="143" t="s">
        <v>2</v>
      </c>
      <c r="D235" s="143" t="s">
        <v>353</v>
      </c>
      <c r="E235" s="143"/>
      <c r="F235" s="143" t="s">
        <v>464</v>
      </c>
      <c r="G235" s="145" t="s">
        <v>3</v>
      </c>
      <c r="H235" s="146">
        <v>1</v>
      </c>
      <c r="K235" s="20"/>
      <c r="L235" s="20"/>
    </row>
    <row r="236" spans="2:12" s="19" customFormat="1" ht="15.75" outlineLevel="2" x14ac:dyDescent="0.2">
      <c r="B236" s="26"/>
      <c r="C236" s="167" t="s">
        <v>8</v>
      </c>
      <c r="D236" s="170" t="s">
        <v>354</v>
      </c>
      <c r="E236" s="170" t="s">
        <v>805</v>
      </c>
      <c r="F236" s="168" t="s">
        <v>117</v>
      </c>
      <c r="G236" s="165" t="s">
        <v>5</v>
      </c>
      <c r="H236" s="169">
        <f>H60*H235*2</f>
        <v>0.8032128514056226</v>
      </c>
      <c r="I236" s="20"/>
      <c r="K236" s="20"/>
      <c r="L236" s="20"/>
    </row>
    <row r="237" spans="2:12" s="20" customFormat="1" outlineLevel="2" x14ac:dyDescent="0.2">
      <c r="B237" s="26"/>
      <c r="C237" s="32"/>
      <c r="D237" s="29"/>
      <c r="E237" s="29"/>
      <c r="F237" s="28"/>
      <c r="G237" s="30"/>
      <c r="H237" s="18"/>
    </row>
    <row r="238" spans="2:12" s="19" customFormat="1" outlineLevel="1" x14ac:dyDescent="0.2">
      <c r="B238" s="26"/>
      <c r="C238" s="27" t="s">
        <v>360</v>
      </c>
      <c r="K238" s="20"/>
      <c r="L238" s="20"/>
    </row>
    <row r="239" spans="2:12" s="19" customFormat="1" ht="15.75" outlineLevel="2" x14ac:dyDescent="0.2">
      <c r="B239" s="26"/>
      <c r="C239" s="167" t="s">
        <v>8</v>
      </c>
      <c r="D239" s="170" t="s">
        <v>490</v>
      </c>
      <c r="E239" s="170" t="s">
        <v>806</v>
      </c>
      <c r="F239" s="168" t="s">
        <v>118</v>
      </c>
      <c r="G239" s="165" t="s">
        <v>559</v>
      </c>
      <c r="H239" s="169">
        <f>H96*0.001*H100*17.2/H134</f>
        <v>1068.4580254597583</v>
      </c>
      <c r="I239" s="73"/>
      <c r="K239" s="20"/>
      <c r="L239" s="20"/>
    </row>
    <row r="240" spans="2:12" s="19" customFormat="1" ht="15.75" outlineLevel="2" x14ac:dyDescent="0.2">
      <c r="B240" s="26"/>
      <c r="C240" s="167" t="s">
        <v>8</v>
      </c>
      <c r="D240" s="170" t="s">
        <v>491</v>
      </c>
      <c r="E240" s="170" t="s">
        <v>807</v>
      </c>
      <c r="F240" s="168" t="s">
        <v>356</v>
      </c>
      <c r="G240" s="165" t="s">
        <v>559</v>
      </c>
      <c r="H240" s="169">
        <f>H96*0.001*H102*17.2/H146</f>
        <v>32.629506271039894</v>
      </c>
      <c r="I240" s="73"/>
      <c r="K240" s="25"/>
      <c r="L240" s="25"/>
    </row>
    <row r="241" spans="2:19" s="19" customFormat="1" ht="15.75" outlineLevel="2" x14ac:dyDescent="0.2">
      <c r="B241" s="26"/>
      <c r="C241" s="167" t="s">
        <v>8</v>
      </c>
      <c r="D241" s="170" t="s">
        <v>492</v>
      </c>
      <c r="E241" s="170" t="s">
        <v>808</v>
      </c>
      <c r="F241" s="168" t="s">
        <v>357</v>
      </c>
      <c r="G241" s="165" t="s">
        <v>559</v>
      </c>
      <c r="H241" s="169">
        <f>H96*0.001*H104*17.2/H160</f>
        <v>21.753004180693264</v>
      </c>
      <c r="I241" s="73"/>
      <c r="K241" s="25"/>
      <c r="L241" s="25"/>
    </row>
    <row r="242" spans="2:19" s="19" customFormat="1" ht="15.75" outlineLevel="2" x14ac:dyDescent="0.2">
      <c r="B242" s="26"/>
      <c r="C242" s="167" t="s">
        <v>8</v>
      </c>
      <c r="D242" s="170" t="s">
        <v>493</v>
      </c>
      <c r="E242" s="170" t="s">
        <v>809</v>
      </c>
      <c r="F242" s="168" t="s">
        <v>119</v>
      </c>
      <c r="G242" s="165" t="s">
        <v>44</v>
      </c>
      <c r="H242" s="169">
        <f>H86^2*H239</f>
        <v>133.63357982184053</v>
      </c>
      <c r="I242" s="73"/>
      <c r="K242" s="20"/>
      <c r="L242" s="20"/>
    </row>
    <row r="243" spans="2:19" s="19" customFormat="1" ht="15.75" outlineLevel="2" x14ac:dyDescent="0.2">
      <c r="B243" s="26"/>
      <c r="C243" s="167" t="s">
        <v>8</v>
      </c>
      <c r="D243" s="170" t="s">
        <v>494</v>
      </c>
      <c r="E243" s="170" t="s">
        <v>810</v>
      </c>
      <c r="F243" s="168" t="s">
        <v>359</v>
      </c>
      <c r="G243" s="165" t="s">
        <v>44</v>
      </c>
      <c r="H243" s="169">
        <f>H186^2*H240</f>
        <v>118.19152225086231</v>
      </c>
      <c r="K243" s="20"/>
      <c r="L243" s="20"/>
    </row>
    <row r="244" spans="2:19" s="19" customFormat="1" ht="15.75" outlineLevel="2" x14ac:dyDescent="0.2">
      <c r="B244" s="26"/>
      <c r="C244" s="167" t="s">
        <v>8</v>
      </c>
      <c r="D244" s="170" t="s">
        <v>495</v>
      </c>
      <c r="E244" s="170" t="s">
        <v>811</v>
      </c>
      <c r="F244" s="168" t="s">
        <v>358</v>
      </c>
      <c r="G244" s="165" t="s">
        <v>44</v>
      </c>
      <c r="H244" s="169">
        <f>H204^2*H241</f>
        <v>18.30032763355878</v>
      </c>
      <c r="K244" s="20"/>
      <c r="L244" s="20"/>
    </row>
    <row r="245" spans="2:19" s="19" customFormat="1" ht="15.75" outlineLevel="2" x14ac:dyDescent="0.2">
      <c r="B245" s="26"/>
      <c r="C245" s="167" t="s">
        <v>8</v>
      </c>
      <c r="D245" s="170" t="s">
        <v>496</v>
      </c>
      <c r="E245" s="170" t="s">
        <v>812</v>
      </c>
      <c r="F245" s="168" t="s">
        <v>120</v>
      </c>
      <c r="G245" s="165" t="s">
        <v>5</v>
      </c>
      <c r="H245" s="174">
        <f>SUM(H242:H244)/1000</f>
        <v>0.27012542970626163</v>
      </c>
      <c r="K245" s="20"/>
      <c r="L245" s="20"/>
    </row>
    <row r="246" spans="2:19" s="20" customFormat="1" outlineLevel="2" x14ac:dyDescent="0.2">
      <c r="B246" s="26"/>
      <c r="C246" s="32"/>
      <c r="D246" s="29"/>
      <c r="E246" s="29"/>
      <c r="F246" s="28"/>
      <c r="G246" s="30"/>
      <c r="H246" s="86"/>
    </row>
    <row r="247" spans="2:19" s="19" customFormat="1" outlineLevel="1" x14ac:dyDescent="0.2">
      <c r="B247" s="26"/>
      <c r="C247" s="27" t="s">
        <v>45</v>
      </c>
      <c r="K247" s="20"/>
      <c r="L247" s="20"/>
    </row>
    <row r="248" spans="2:19" s="20" customFormat="1" ht="15.75" outlineLevel="2" x14ac:dyDescent="0.2">
      <c r="B248" s="26"/>
      <c r="C248" s="167" t="s">
        <v>8</v>
      </c>
      <c r="D248" s="170" t="s">
        <v>497</v>
      </c>
      <c r="E248" s="170" t="s">
        <v>813</v>
      </c>
      <c r="F248" s="168" t="s">
        <v>361</v>
      </c>
      <c r="G248" s="165" t="s">
        <v>5</v>
      </c>
      <c r="H248" s="169">
        <f>H186*H27</f>
        <v>1.1419291578157789</v>
      </c>
      <c r="I248" s="73"/>
      <c r="J248" s="19"/>
      <c r="K248" s="46"/>
      <c r="L248" s="46"/>
      <c r="M248" s="19"/>
      <c r="N248" s="19"/>
      <c r="O248" s="19"/>
      <c r="P248" s="19"/>
      <c r="Q248" s="19"/>
      <c r="R248" s="19"/>
      <c r="S248" s="19"/>
    </row>
    <row r="249" spans="2:19" s="20" customFormat="1" ht="15.75" outlineLevel="2" x14ac:dyDescent="0.2">
      <c r="B249" s="26"/>
      <c r="C249" s="167" t="s">
        <v>8</v>
      </c>
      <c r="D249" s="170" t="s">
        <v>498</v>
      </c>
      <c r="E249" s="170" t="s">
        <v>814</v>
      </c>
      <c r="F249" s="168" t="s">
        <v>362</v>
      </c>
      <c r="G249" s="165" t="s">
        <v>5</v>
      </c>
      <c r="H249" s="169">
        <f>H204*H35</f>
        <v>0.18344243499048657</v>
      </c>
      <c r="I249" s="73"/>
      <c r="J249" s="19"/>
      <c r="K249" s="46"/>
      <c r="L249" s="46"/>
      <c r="M249" s="19"/>
      <c r="N249" s="19"/>
      <c r="O249" s="19"/>
      <c r="P249" s="19"/>
      <c r="Q249" s="19"/>
      <c r="R249" s="19"/>
      <c r="S249" s="19"/>
    </row>
    <row r="250" spans="2:19" s="20" customFormat="1" outlineLevel="2" x14ac:dyDescent="0.2">
      <c r="B250" s="26"/>
      <c r="C250" s="32"/>
      <c r="D250" s="29"/>
      <c r="E250" s="29"/>
      <c r="F250" s="28"/>
      <c r="G250" s="30"/>
      <c r="H250" s="18"/>
      <c r="I250" s="73"/>
      <c r="K250" s="46"/>
      <c r="L250" s="46"/>
    </row>
    <row r="251" spans="2:19" s="19" customFormat="1" outlineLevel="1" x14ac:dyDescent="0.2">
      <c r="B251" s="26"/>
      <c r="C251" s="27" t="s">
        <v>151</v>
      </c>
      <c r="D251" s="20"/>
      <c r="E251" s="20"/>
      <c r="F251" s="20"/>
      <c r="G251" s="46"/>
      <c r="H251" s="74"/>
      <c r="I251" s="73"/>
      <c r="J251" s="20"/>
      <c r="K251" s="46"/>
      <c r="L251" s="46"/>
      <c r="M251" s="20"/>
      <c r="N251" s="20"/>
      <c r="O251" s="20"/>
      <c r="P251" s="20"/>
      <c r="Q251" s="20"/>
      <c r="R251" s="20"/>
      <c r="S251" s="20"/>
    </row>
    <row r="252" spans="2:19" s="19" customFormat="1" ht="15.75" outlineLevel="2" x14ac:dyDescent="0.2">
      <c r="B252" s="26"/>
      <c r="C252" s="167" t="s">
        <v>8</v>
      </c>
      <c r="D252" s="170" t="s">
        <v>499</v>
      </c>
      <c r="E252" s="170" t="s">
        <v>815</v>
      </c>
      <c r="F252" s="168" t="s">
        <v>175</v>
      </c>
      <c r="G252" s="165" t="s">
        <v>5</v>
      </c>
      <c r="H252" s="169">
        <f>0.5*H172*H84^2*H53*(H173+H112)/H173</f>
        <v>0.90566409713063523</v>
      </c>
      <c r="I252" s="73"/>
      <c r="K252" s="46"/>
      <c r="L252" s="46"/>
    </row>
    <row r="253" spans="2:19" s="20" customFormat="1" outlineLevel="2" x14ac:dyDescent="0.2">
      <c r="B253" s="26"/>
      <c r="C253" s="32"/>
      <c r="D253" s="29"/>
      <c r="E253" s="29"/>
      <c r="F253" s="28"/>
      <c r="G253" s="30"/>
      <c r="H253" s="18"/>
      <c r="I253" s="73"/>
      <c r="K253" s="46"/>
      <c r="L253" s="46"/>
    </row>
    <row r="254" spans="2:19" s="19" customFormat="1" outlineLevel="1" x14ac:dyDescent="0.2">
      <c r="B254" s="26"/>
      <c r="C254" s="27" t="s">
        <v>331</v>
      </c>
      <c r="D254" s="20"/>
      <c r="E254" s="20"/>
      <c r="F254" s="20"/>
      <c r="G254" s="46"/>
      <c r="H254" s="74"/>
      <c r="I254" s="73"/>
      <c r="J254" s="20"/>
      <c r="K254" s="46"/>
      <c r="L254" s="46"/>
      <c r="M254" s="20"/>
      <c r="N254" s="20"/>
      <c r="O254" s="20"/>
      <c r="P254" s="20"/>
      <c r="Q254" s="20"/>
      <c r="R254" s="20"/>
      <c r="S254" s="20"/>
    </row>
    <row r="255" spans="2:19" s="19" customFormat="1" ht="15.75" outlineLevel="2" x14ac:dyDescent="0.2">
      <c r="B255" s="26"/>
      <c r="C255" s="167" t="s">
        <v>8</v>
      </c>
      <c r="D255" s="170" t="s">
        <v>500</v>
      </c>
      <c r="E255" s="170" t="s">
        <v>816</v>
      </c>
      <c r="F255" s="168" t="s">
        <v>255</v>
      </c>
      <c r="G255" s="165" t="s">
        <v>5</v>
      </c>
      <c r="H255" s="169">
        <f>H86^2*H181</f>
        <v>0.11666581980758059</v>
      </c>
      <c r="I255" s="73"/>
      <c r="K255" s="46"/>
      <c r="L255" s="46"/>
    </row>
    <row r="256" spans="2:19" s="20" customFormat="1" outlineLevel="2" x14ac:dyDescent="0.2">
      <c r="B256" s="26"/>
      <c r="C256" s="32"/>
      <c r="D256" s="29"/>
      <c r="E256" s="29"/>
      <c r="F256" s="28"/>
      <c r="G256" s="30"/>
      <c r="H256" s="18"/>
      <c r="I256" s="73"/>
      <c r="K256" s="46"/>
      <c r="L256" s="46"/>
    </row>
    <row r="257" spans="2:16" s="19" customFormat="1" outlineLevel="1" x14ac:dyDescent="0.2">
      <c r="B257" s="26"/>
      <c r="C257" s="27" t="s">
        <v>89</v>
      </c>
      <c r="D257" s="20"/>
      <c r="E257" s="20"/>
      <c r="F257" s="20"/>
      <c r="G257" s="46"/>
      <c r="H257" s="18"/>
      <c r="I257" s="73"/>
      <c r="K257" s="46"/>
      <c r="L257" s="46"/>
    </row>
    <row r="258" spans="2:16" s="19" customFormat="1" ht="19.5" outlineLevel="2" x14ac:dyDescent="0.2">
      <c r="B258" s="26"/>
      <c r="C258" s="143" t="s">
        <v>2</v>
      </c>
      <c r="D258" s="143" t="s">
        <v>465</v>
      </c>
      <c r="E258" s="143"/>
      <c r="F258" s="143" t="s">
        <v>466</v>
      </c>
      <c r="G258" s="145" t="s">
        <v>558</v>
      </c>
      <c r="H258" s="150">
        <v>8.69</v>
      </c>
      <c r="K258" s="20"/>
      <c r="L258" s="20"/>
    </row>
    <row r="259" spans="2:16" s="19" customFormat="1" ht="15.75" outlineLevel="2" x14ac:dyDescent="0.2">
      <c r="B259" s="26"/>
      <c r="C259" s="143" t="s">
        <v>2</v>
      </c>
      <c r="D259" s="143" t="s">
        <v>95</v>
      </c>
      <c r="E259" s="143"/>
      <c r="F259" s="143" t="s">
        <v>707</v>
      </c>
      <c r="G259" s="145" t="s">
        <v>46</v>
      </c>
      <c r="H259" s="150">
        <v>3</v>
      </c>
      <c r="K259" s="20"/>
      <c r="L259" s="46"/>
      <c r="M259" s="46"/>
      <c r="N259" s="46"/>
      <c r="O259" s="46"/>
      <c r="P259" s="46"/>
    </row>
    <row r="260" spans="2:16" s="19" customFormat="1" ht="15.75" outlineLevel="2" x14ac:dyDescent="0.2">
      <c r="B260" s="26"/>
      <c r="C260" s="143" t="s">
        <v>2</v>
      </c>
      <c r="D260" s="143" t="s">
        <v>708</v>
      </c>
      <c r="E260" s="143"/>
      <c r="F260" s="143" t="s">
        <v>467</v>
      </c>
      <c r="G260" s="145" t="s">
        <v>46</v>
      </c>
      <c r="H260" s="150">
        <v>0</v>
      </c>
      <c r="K260" s="20"/>
      <c r="L260" s="46"/>
      <c r="M260" s="46"/>
      <c r="N260" s="46"/>
      <c r="O260" s="46"/>
      <c r="P260" s="46"/>
    </row>
    <row r="261" spans="2:16" s="19" customFormat="1" ht="15.75" outlineLevel="2" x14ac:dyDescent="0.2">
      <c r="B261" s="26"/>
      <c r="C261" s="167" t="s">
        <v>8</v>
      </c>
      <c r="D261" s="170" t="s">
        <v>501</v>
      </c>
      <c r="E261" s="170" t="s">
        <v>817</v>
      </c>
      <c r="F261" s="168" t="s">
        <v>364</v>
      </c>
      <c r="G261" s="165" t="s">
        <v>5</v>
      </c>
      <c r="H261" s="174">
        <f>0.5*(H259+H260)*10^-12*(H70+H112)^2*H53</f>
        <v>5.7056425847637829E-3</v>
      </c>
      <c r="K261" s="20"/>
      <c r="L261" s="20"/>
    </row>
    <row r="262" spans="2:16" s="19" customFormat="1" ht="15.75" outlineLevel="2" x14ac:dyDescent="0.2">
      <c r="B262" s="26"/>
      <c r="C262" s="167" t="s">
        <v>8</v>
      </c>
      <c r="D262" s="170" t="s">
        <v>502</v>
      </c>
      <c r="E262" s="170" t="s">
        <v>818</v>
      </c>
      <c r="F262" s="168" t="s">
        <v>365</v>
      </c>
      <c r="G262" s="165" t="s">
        <v>5</v>
      </c>
      <c r="H262" s="174">
        <f>H86^2*H258</f>
        <v>1.0868707810511284</v>
      </c>
      <c r="K262" s="20"/>
      <c r="L262" s="20"/>
    </row>
    <row r="263" spans="2:16" s="19" customFormat="1" ht="15.75" outlineLevel="2" x14ac:dyDescent="0.2">
      <c r="B263" s="26"/>
      <c r="C263" s="167" t="s">
        <v>8</v>
      </c>
      <c r="D263" s="170" t="s">
        <v>503</v>
      </c>
      <c r="E263" s="170" t="s">
        <v>819</v>
      </c>
      <c r="F263" s="168" t="s">
        <v>366</v>
      </c>
      <c r="G263" s="165" t="s">
        <v>5</v>
      </c>
      <c r="H263" s="174">
        <f>SUM(H261:H262)</f>
        <v>1.0925764236358921</v>
      </c>
      <c r="K263" s="20"/>
      <c r="L263" s="20"/>
    </row>
    <row r="264" spans="2:16" s="19" customFormat="1" ht="15.75" outlineLevel="2" x14ac:dyDescent="0.2">
      <c r="B264" s="26"/>
      <c r="C264" s="167" t="s">
        <v>8</v>
      </c>
      <c r="D264" s="170" t="s">
        <v>504</v>
      </c>
      <c r="E264" s="170" t="s">
        <v>820</v>
      </c>
      <c r="F264" s="168" t="s">
        <v>367</v>
      </c>
      <c r="G264" s="165" t="s">
        <v>5</v>
      </c>
      <c r="H264" s="174">
        <f>0.5*(H259+H260)*10^-12*(H61+H112)^2*H53</f>
        <v>4.8409018267238556E-2</v>
      </c>
      <c r="K264" s="20"/>
      <c r="L264" s="20"/>
    </row>
    <row r="265" spans="2:16" s="19" customFormat="1" ht="15.75" outlineLevel="2" x14ac:dyDescent="0.2">
      <c r="B265" s="26"/>
      <c r="C265" s="167" t="s">
        <v>8</v>
      </c>
      <c r="D265" s="170" t="s">
        <v>505</v>
      </c>
      <c r="E265" s="170" t="s">
        <v>821</v>
      </c>
      <c r="F265" s="168" t="s">
        <v>368</v>
      </c>
      <c r="G265" s="165" t="s">
        <v>5</v>
      </c>
      <c r="H265" s="174">
        <f>(1/3)*H258*H84^2*H81*H84*H53/H61</f>
        <v>0.21805944158586846</v>
      </c>
      <c r="K265" s="20"/>
      <c r="L265" s="20"/>
    </row>
    <row r="266" spans="2:16" s="19" customFormat="1" ht="15.75" outlineLevel="2" x14ac:dyDescent="0.2">
      <c r="B266" s="26"/>
      <c r="C266" s="167" t="s">
        <v>8</v>
      </c>
      <c r="D266" s="170" t="s">
        <v>506</v>
      </c>
      <c r="E266" s="170" t="s">
        <v>822</v>
      </c>
      <c r="F266" s="168" t="s">
        <v>369</v>
      </c>
      <c r="G266" s="165" t="s">
        <v>5</v>
      </c>
      <c r="H266" s="174">
        <f>SUM(H264:H265)</f>
        <v>0.26646845985310702</v>
      </c>
      <c r="K266" s="20"/>
      <c r="L266" s="20"/>
    </row>
    <row r="267" spans="2:16" s="20" customFormat="1" ht="15.75" outlineLevel="2" x14ac:dyDescent="0.2">
      <c r="B267" s="26"/>
      <c r="C267" s="167" t="s">
        <v>8</v>
      </c>
      <c r="D267" s="170" t="s">
        <v>507</v>
      </c>
      <c r="E267" s="170"/>
      <c r="F267" s="168" t="s">
        <v>711</v>
      </c>
      <c r="G267" s="165" t="s">
        <v>5</v>
      </c>
      <c r="H267" s="174">
        <f>MAX(H263,H266)</f>
        <v>1.0925764236358921</v>
      </c>
    </row>
    <row r="268" spans="2:16" s="20" customFormat="1" outlineLevel="2" x14ac:dyDescent="0.2">
      <c r="B268" s="26"/>
      <c r="C268" s="32"/>
      <c r="D268" s="29"/>
      <c r="E268" s="29"/>
      <c r="F268" s="28"/>
      <c r="G268" s="30"/>
      <c r="H268" s="86"/>
    </row>
    <row r="269" spans="2:16" s="19" customFormat="1" outlineLevel="1" x14ac:dyDescent="0.2">
      <c r="B269" s="26"/>
      <c r="C269" s="26" t="s">
        <v>152</v>
      </c>
      <c r="D269" s="20"/>
      <c r="E269" s="20"/>
      <c r="F269" s="20"/>
      <c r="G269" s="46"/>
      <c r="H269" s="74"/>
      <c r="I269" s="20"/>
      <c r="K269" s="20"/>
      <c r="L269" s="20"/>
    </row>
    <row r="270" spans="2:16" s="20" customFormat="1" ht="15.75" outlineLevel="2" x14ac:dyDescent="0.2">
      <c r="B270" s="26"/>
      <c r="C270" s="143" t="s">
        <v>2</v>
      </c>
      <c r="D270" s="143" t="s">
        <v>370</v>
      </c>
      <c r="E270" s="143"/>
      <c r="F270" s="143" t="s">
        <v>709</v>
      </c>
      <c r="G270" s="145" t="s">
        <v>74</v>
      </c>
      <c r="H270" s="158">
        <v>0.9</v>
      </c>
    </row>
    <row r="271" spans="2:16" s="19" customFormat="1" ht="15.75" outlineLevel="2" x14ac:dyDescent="0.2">
      <c r="B271" s="26"/>
      <c r="C271" s="167" t="s">
        <v>8</v>
      </c>
      <c r="D271" s="168" t="s">
        <v>508</v>
      </c>
      <c r="E271" s="168" t="s">
        <v>823</v>
      </c>
      <c r="F271" s="168" t="s">
        <v>710</v>
      </c>
      <c r="G271" s="165" t="s">
        <v>5</v>
      </c>
      <c r="H271" s="174">
        <f>H107*H270*10^-3</f>
        <v>1.2330000000000001E-2</v>
      </c>
      <c r="K271" s="20"/>
      <c r="L271" s="20"/>
    </row>
    <row r="272" spans="2:16" s="20" customFormat="1" outlineLevel="2" x14ac:dyDescent="0.2">
      <c r="B272" s="26"/>
      <c r="C272" s="32"/>
      <c r="D272" s="28"/>
      <c r="E272" s="28"/>
      <c r="F272" s="28"/>
      <c r="G272" s="30"/>
      <c r="H272" s="86"/>
    </row>
    <row r="273" spans="2:34" s="19" customFormat="1" outlineLevel="1" x14ac:dyDescent="0.2">
      <c r="B273" s="26"/>
      <c r="C273" s="26" t="s">
        <v>174</v>
      </c>
      <c r="D273" s="20"/>
      <c r="E273" s="20"/>
      <c r="F273" s="20"/>
      <c r="G273" s="46"/>
      <c r="H273" s="18"/>
      <c r="I273" s="73"/>
      <c r="K273" s="46"/>
      <c r="L273" s="46"/>
    </row>
    <row r="274" spans="2:34" s="19" customFormat="1" ht="15.75" outlineLevel="2" x14ac:dyDescent="0.2">
      <c r="B274" s="26"/>
      <c r="C274" s="167" t="s">
        <v>8</v>
      </c>
      <c r="D274" s="168" t="s">
        <v>509</v>
      </c>
      <c r="E274" s="168" t="s">
        <v>824</v>
      </c>
      <c r="F274" s="168" t="s">
        <v>85</v>
      </c>
      <c r="G274" s="165" t="s">
        <v>5</v>
      </c>
      <c r="H274" s="169">
        <f>SUM(H236+H245+H248+H249+H252+H255+H267+H271)</f>
        <v>4.525946214492258</v>
      </c>
      <c r="I274" s="73"/>
      <c r="K274" s="46"/>
      <c r="L274" s="46"/>
    </row>
    <row r="275" spans="2:34" s="19" customFormat="1" ht="15.75" outlineLevel="2" x14ac:dyDescent="0.2">
      <c r="B275" s="26"/>
      <c r="C275" s="167" t="s">
        <v>8</v>
      </c>
      <c r="D275" s="168" t="s">
        <v>510</v>
      </c>
      <c r="E275" s="168" t="s">
        <v>825</v>
      </c>
      <c r="F275" s="168" t="s">
        <v>712</v>
      </c>
      <c r="G275" s="175" t="s">
        <v>371</v>
      </c>
      <c r="H275" s="176">
        <f>H47/(H47+H274)</f>
        <v>0.78974461009081298</v>
      </c>
      <c r="I275" s="73"/>
      <c r="K275" s="46"/>
      <c r="L275" s="46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</row>
    <row r="276" spans="2:34" s="20" customFormat="1" outlineLevel="2" x14ac:dyDescent="0.2">
      <c r="B276" s="26"/>
      <c r="C276" s="32"/>
      <c r="D276" s="28"/>
      <c r="E276" s="28"/>
      <c r="F276" s="28"/>
      <c r="G276" s="48"/>
      <c r="H276" s="88"/>
      <c r="I276" s="73"/>
      <c r="K276" s="46"/>
      <c r="L276" s="46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</row>
    <row r="277" spans="2:34" s="19" customFormat="1" x14ac:dyDescent="0.2">
      <c r="B277" s="26" t="s">
        <v>555</v>
      </c>
      <c r="D277" s="20"/>
      <c r="E277" s="20"/>
      <c r="F277" s="20"/>
      <c r="G277" s="46"/>
      <c r="H277" s="74"/>
      <c r="I277" s="20"/>
      <c r="K277" s="20"/>
      <c r="L277" s="20"/>
    </row>
    <row r="278" spans="2:34" s="19" customFormat="1" outlineLevel="1" x14ac:dyDescent="0.2">
      <c r="B278" s="27"/>
      <c r="C278" s="26" t="s">
        <v>555</v>
      </c>
      <c r="D278" s="20"/>
      <c r="E278" s="20"/>
      <c r="F278" s="20"/>
      <c r="G278" s="46"/>
      <c r="H278" s="74"/>
      <c r="I278" s="20"/>
      <c r="K278" s="20"/>
      <c r="L278" s="20"/>
    </row>
    <row r="279" spans="2:34" s="20" customFormat="1" ht="15.75" outlineLevel="2" x14ac:dyDescent="0.2">
      <c r="B279" s="26"/>
      <c r="C279" s="143" t="s">
        <v>2</v>
      </c>
      <c r="D279" s="143" t="s">
        <v>844</v>
      </c>
      <c r="E279" s="143"/>
      <c r="F279" s="143" t="s">
        <v>845</v>
      </c>
      <c r="G279" s="145" t="s">
        <v>82</v>
      </c>
      <c r="H279" s="158">
        <v>65</v>
      </c>
    </row>
    <row r="280" spans="2:34" s="20" customFormat="1" outlineLevel="2" x14ac:dyDescent="0.2">
      <c r="B280" s="26"/>
      <c r="C280" s="167" t="s">
        <v>8</v>
      </c>
      <c r="D280" s="168" t="s">
        <v>511</v>
      </c>
      <c r="E280" s="168" t="s">
        <v>826</v>
      </c>
      <c r="F280" s="168" t="s">
        <v>160</v>
      </c>
      <c r="G280" s="165" t="s">
        <v>83</v>
      </c>
      <c r="H280" s="172">
        <f>H279*H267</f>
        <v>71.017467536332987</v>
      </c>
    </row>
    <row r="281" spans="2:34" s="19" customFormat="1" ht="15.75" outlineLevel="2" x14ac:dyDescent="0.2">
      <c r="B281" s="26"/>
      <c r="C281" s="167" t="s">
        <v>8</v>
      </c>
      <c r="D281" s="168" t="s">
        <v>512</v>
      </c>
      <c r="E281" s="168" t="s">
        <v>827</v>
      </c>
      <c r="F281" s="168" t="s">
        <v>87</v>
      </c>
      <c r="G281" s="165" t="s">
        <v>84</v>
      </c>
      <c r="H281" s="172">
        <f>H55+H280</f>
        <v>121.01746753633299</v>
      </c>
      <c r="I281" s="33" t="str">
        <f>IF(H281&gt;125, "Caution! Junction temperature too high. Make sure to add a copper pour (as heatsink) on DRAIN pin.","")</f>
        <v/>
      </c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2:34" s="85" customFormat="1" outlineLevel="2" x14ac:dyDescent="0.2">
      <c r="B282" s="91"/>
      <c r="C282" s="42"/>
      <c r="D282" s="43"/>
      <c r="E282" s="43"/>
      <c r="F282" s="43"/>
      <c r="G282" s="44"/>
      <c r="H282" s="92"/>
      <c r="I282" s="28"/>
      <c r="K282" s="28"/>
      <c r="L282" s="28"/>
    </row>
    <row r="283" spans="2:34" s="85" customFormat="1" x14ac:dyDescent="0.2">
      <c r="B283" s="26" t="s">
        <v>863</v>
      </c>
      <c r="D283" s="90"/>
      <c r="E283" s="90"/>
      <c r="F283" s="90"/>
      <c r="G283" s="90"/>
      <c r="H283" s="90"/>
      <c r="I283" s="28"/>
      <c r="K283" s="28"/>
      <c r="L283" s="28"/>
    </row>
    <row r="284" spans="2:34" s="85" customFormat="1" outlineLevel="1" x14ac:dyDescent="0.2">
      <c r="B284" s="26"/>
      <c r="C284" s="210" t="s">
        <v>863</v>
      </c>
      <c r="D284" s="90"/>
      <c r="E284" s="90"/>
      <c r="F284" s="90"/>
      <c r="G284" s="90"/>
      <c r="H284" s="90"/>
      <c r="I284" s="28"/>
      <c r="K284" s="28"/>
      <c r="L284" s="28"/>
    </row>
    <row r="285" spans="2:34" s="85" customFormat="1" ht="15.75" outlineLevel="2" x14ac:dyDescent="0.2">
      <c r="B285" s="91"/>
      <c r="C285" s="151" t="s">
        <v>2</v>
      </c>
      <c r="D285" s="151" t="s">
        <v>864</v>
      </c>
      <c r="E285" s="151"/>
      <c r="F285" s="151" t="s">
        <v>865</v>
      </c>
      <c r="G285" s="152" t="s">
        <v>866</v>
      </c>
      <c r="H285" s="211"/>
      <c r="I285" s="28"/>
      <c r="K285" s="28"/>
      <c r="L285" s="28"/>
    </row>
    <row r="286" spans="2:34" s="85" customFormat="1" ht="15.75" outlineLevel="2" x14ac:dyDescent="0.2">
      <c r="B286" s="91"/>
      <c r="C286" s="151" t="s">
        <v>2</v>
      </c>
      <c r="D286" s="151" t="s">
        <v>880</v>
      </c>
      <c r="E286" s="151"/>
      <c r="F286" s="151" t="s">
        <v>867</v>
      </c>
      <c r="G286" s="152" t="s">
        <v>868</v>
      </c>
      <c r="H286" s="212"/>
      <c r="I286" s="28"/>
      <c r="K286" s="28"/>
      <c r="L286" s="28"/>
    </row>
    <row r="287" spans="2:34" s="85" customFormat="1" ht="15.75" outlineLevel="2" x14ac:dyDescent="0.2">
      <c r="B287" s="91"/>
      <c r="C287" s="151" t="s">
        <v>2</v>
      </c>
      <c r="D287" s="151" t="s">
        <v>869</v>
      </c>
      <c r="E287" s="151"/>
      <c r="F287" s="144" t="s">
        <v>870</v>
      </c>
      <c r="G287" s="152" t="s">
        <v>3</v>
      </c>
      <c r="H287" s="211">
        <v>2.85</v>
      </c>
      <c r="I287" s="28"/>
      <c r="K287" s="28"/>
      <c r="L287" s="28"/>
    </row>
    <row r="288" spans="2:34" s="85" customFormat="1" ht="15.75" outlineLevel="2" x14ac:dyDescent="0.2">
      <c r="B288" s="91"/>
      <c r="C288" s="180" t="s">
        <v>8</v>
      </c>
      <c r="D288" s="181" t="s">
        <v>871</v>
      </c>
      <c r="E288" s="181" t="s">
        <v>872</v>
      </c>
      <c r="F288" s="181" t="s">
        <v>873</v>
      </c>
      <c r="G288" s="182" t="s">
        <v>874</v>
      </c>
      <c r="H288" s="213">
        <f>H286*1000000*H287/((H285*SQRT(2))-H287)/1000</f>
        <v>0</v>
      </c>
      <c r="I288" s="28"/>
      <c r="K288" s="28"/>
      <c r="L288" s="28"/>
    </row>
    <row r="289" spans="2:19" s="85" customFormat="1" ht="15.75" outlineLevel="2" x14ac:dyDescent="0.2">
      <c r="B289" s="91"/>
      <c r="C289" s="151" t="s">
        <v>2</v>
      </c>
      <c r="D289" s="151" t="s">
        <v>881</v>
      </c>
      <c r="E289" s="151"/>
      <c r="F289" s="151" t="s">
        <v>875</v>
      </c>
      <c r="G289" s="152" t="s">
        <v>876</v>
      </c>
      <c r="H289" s="211"/>
      <c r="I289" s="28"/>
      <c r="K289" s="28"/>
      <c r="L289" s="28"/>
    </row>
    <row r="290" spans="2:19" s="85" customFormat="1" ht="15.75" outlineLevel="2" x14ac:dyDescent="0.2">
      <c r="B290" s="91"/>
      <c r="C290" s="180" t="s">
        <v>8</v>
      </c>
      <c r="D290" s="181" t="s">
        <v>877</v>
      </c>
      <c r="E290" s="181" t="s">
        <v>878</v>
      </c>
      <c r="F290" s="181" t="s">
        <v>879</v>
      </c>
      <c r="G290" s="182" t="s">
        <v>866</v>
      </c>
      <c r="H290" s="213" t="e">
        <f>H287/(H289*1000)*((H289*1000)+H286*1000000)/SQRT(2)</f>
        <v>#DIV/0!</v>
      </c>
      <c r="I290" s="28"/>
      <c r="K290" s="28"/>
      <c r="L290" s="28"/>
    </row>
    <row r="291" spans="2:19" s="85" customFormat="1" outlineLevel="2" x14ac:dyDescent="0.2">
      <c r="B291" s="91"/>
      <c r="C291" s="42"/>
      <c r="D291" s="43"/>
      <c r="E291" s="43"/>
      <c r="F291" s="43"/>
      <c r="G291" s="44"/>
      <c r="H291" s="92"/>
      <c r="I291" s="28"/>
      <c r="K291" s="28"/>
      <c r="L291" s="28"/>
    </row>
    <row r="292" spans="2:19" s="85" customFormat="1" x14ac:dyDescent="0.2">
      <c r="B292" s="26" t="s">
        <v>714</v>
      </c>
      <c r="D292" s="90"/>
      <c r="E292" s="90"/>
      <c r="F292" s="90"/>
      <c r="G292" s="90"/>
      <c r="H292" s="90"/>
      <c r="I292" s="28"/>
      <c r="K292" s="28"/>
      <c r="L292" s="28"/>
    </row>
    <row r="293" spans="2:19" s="85" customFormat="1" ht="13.5" outlineLevel="1" thickBot="1" x14ac:dyDescent="0.25">
      <c r="B293" s="26"/>
      <c r="C293" s="93" t="s">
        <v>388</v>
      </c>
      <c r="D293" s="90"/>
      <c r="E293" s="90"/>
      <c r="F293" s="90"/>
      <c r="G293" s="90"/>
      <c r="H293" s="90"/>
      <c r="I293" s="28"/>
      <c r="K293" s="28"/>
      <c r="L293" s="28"/>
    </row>
    <row r="294" spans="2:19" s="85" customFormat="1" ht="288.75" customHeight="1" outlineLevel="2" thickBot="1" x14ac:dyDescent="0.25">
      <c r="B294" s="26"/>
      <c r="C294" s="187"/>
      <c r="D294" s="188"/>
      <c r="E294" s="188"/>
      <c r="F294" s="188"/>
      <c r="G294" s="188"/>
      <c r="H294" s="189"/>
      <c r="I294" s="28"/>
      <c r="K294" s="28"/>
      <c r="L294" s="28"/>
    </row>
    <row r="295" spans="2:19" s="85" customFormat="1" outlineLevel="2" x14ac:dyDescent="0.2">
      <c r="B295" s="26"/>
      <c r="C295" s="94"/>
      <c r="D295" s="94"/>
      <c r="E295" s="94"/>
      <c r="F295" s="94"/>
      <c r="G295" s="94"/>
      <c r="H295" s="94"/>
      <c r="I295" s="28"/>
      <c r="K295" s="28"/>
      <c r="L295" s="28"/>
    </row>
    <row r="296" spans="2:19" s="20" customFormat="1" outlineLevel="1" x14ac:dyDescent="0.2">
      <c r="B296" s="26"/>
      <c r="C296" s="26" t="s">
        <v>383</v>
      </c>
      <c r="D296" s="28"/>
      <c r="E296" s="28"/>
      <c r="F296" s="28"/>
      <c r="G296" s="30"/>
      <c r="H296" s="18"/>
      <c r="I296" s="95"/>
      <c r="J296" s="28"/>
      <c r="K296" s="30"/>
      <c r="L296" s="30"/>
      <c r="M296" s="28"/>
      <c r="N296" s="28"/>
      <c r="O296" s="28"/>
      <c r="P296" s="28"/>
      <c r="Q296" s="28"/>
      <c r="R296" s="28"/>
      <c r="S296" s="28"/>
    </row>
    <row r="297" spans="2:19" s="19" customFormat="1" ht="15.75" outlineLevel="2" x14ac:dyDescent="0.2">
      <c r="B297" s="26"/>
      <c r="C297" s="143" t="s">
        <v>2</v>
      </c>
      <c r="D297" s="143" t="s">
        <v>208</v>
      </c>
      <c r="E297" s="143"/>
      <c r="F297" s="143" t="s">
        <v>209</v>
      </c>
      <c r="G297" s="145" t="s">
        <v>3</v>
      </c>
      <c r="H297" s="146">
        <v>2.5</v>
      </c>
      <c r="K297" s="20"/>
      <c r="L297" s="20"/>
    </row>
    <row r="298" spans="2:19" s="19" customFormat="1" ht="15.75" outlineLevel="2" x14ac:dyDescent="0.2">
      <c r="B298" s="26"/>
      <c r="C298" s="143" t="s">
        <v>2</v>
      </c>
      <c r="D298" s="143" t="s">
        <v>522</v>
      </c>
      <c r="E298" s="143"/>
      <c r="F298" s="143" t="s">
        <v>210</v>
      </c>
      <c r="G298" s="145"/>
      <c r="H298" s="146">
        <v>0.9</v>
      </c>
      <c r="K298" s="20"/>
      <c r="L298" s="20"/>
    </row>
    <row r="299" spans="2:19" s="19" customFormat="1" ht="15.75" outlineLevel="2" x14ac:dyDescent="0.2">
      <c r="B299" s="26"/>
      <c r="C299" s="143" t="s">
        <v>2</v>
      </c>
      <c r="D299" s="143" t="s">
        <v>523</v>
      </c>
      <c r="E299" s="143"/>
      <c r="F299" s="143" t="s">
        <v>207</v>
      </c>
      <c r="G299" s="145" t="s">
        <v>74</v>
      </c>
      <c r="H299" s="146">
        <v>0.25</v>
      </c>
      <c r="K299" s="20"/>
      <c r="L299" s="20"/>
    </row>
    <row r="300" spans="2:19" s="19" customFormat="1" ht="15.75" outlineLevel="2" x14ac:dyDescent="0.2">
      <c r="B300" s="26"/>
      <c r="C300" s="167" t="s">
        <v>8</v>
      </c>
      <c r="D300" s="168" t="s">
        <v>515</v>
      </c>
      <c r="E300" s="168" t="s">
        <v>828</v>
      </c>
      <c r="F300" s="168" t="s">
        <v>517</v>
      </c>
      <c r="G300" s="165" t="s">
        <v>557</v>
      </c>
      <c r="H300" s="165">
        <f>(H297/(H299*10^-3))/10^3</f>
        <v>10</v>
      </c>
      <c r="K300" s="20"/>
      <c r="L300" s="20"/>
    </row>
    <row r="301" spans="2:19" s="19" customFormat="1" outlineLevel="2" x14ac:dyDescent="0.2">
      <c r="B301" s="26"/>
      <c r="C301" s="143" t="s">
        <v>2</v>
      </c>
      <c r="D301" s="143" t="s">
        <v>516</v>
      </c>
      <c r="E301" s="143"/>
      <c r="F301" s="143" t="s">
        <v>105</v>
      </c>
      <c r="G301" s="145" t="s">
        <v>557</v>
      </c>
      <c r="H301" s="146">
        <v>10</v>
      </c>
      <c r="K301" s="20"/>
      <c r="L301" s="20"/>
    </row>
    <row r="302" spans="2:19" s="19" customFormat="1" ht="15.75" outlineLevel="2" x14ac:dyDescent="0.2">
      <c r="B302" s="26"/>
      <c r="C302" s="167" t="s">
        <v>8</v>
      </c>
      <c r="D302" s="168" t="s">
        <v>515</v>
      </c>
      <c r="E302" s="168" t="s">
        <v>829</v>
      </c>
      <c r="F302" s="168" t="s">
        <v>518</v>
      </c>
      <c r="G302" s="165" t="s">
        <v>557</v>
      </c>
      <c r="H302" s="169">
        <f>((H25-H297)/(H298*H299))</f>
        <v>55.555555555555557</v>
      </c>
      <c r="I302" s="73"/>
      <c r="K302" s="46"/>
      <c r="L302" s="46"/>
    </row>
    <row r="303" spans="2:19" s="19" customFormat="1" outlineLevel="2" x14ac:dyDescent="0.2">
      <c r="B303" s="26"/>
      <c r="C303" s="143" t="s">
        <v>2</v>
      </c>
      <c r="D303" s="143" t="s">
        <v>516</v>
      </c>
      <c r="E303" s="143"/>
      <c r="F303" s="143" t="s">
        <v>106</v>
      </c>
      <c r="G303" s="145" t="s">
        <v>557</v>
      </c>
      <c r="H303" s="158">
        <v>56</v>
      </c>
      <c r="I303" s="73"/>
      <c r="K303" s="46"/>
      <c r="L303" s="46"/>
    </row>
    <row r="304" spans="2:19" s="20" customFormat="1" ht="15.75" outlineLevel="2" x14ac:dyDescent="0.2">
      <c r="B304" s="26"/>
      <c r="C304" s="167" t="s">
        <v>8</v>
      </c>
      <c r="D304" s="168" t="s">
        <v>515</v>
      </c>
      <c r="E304" s="168" t="s">
        <v>830</v>
      </c>
      <c r="F304" s="168" t="s">
        <v>519</v>
      </c>
      <c r="G304" s="165" t="s">
        <v>557</v>
      </c>
      <c r="H304" s="169">
        <f>((H33-H297)/((H299-(H25-H297)/H303)))</f>
        <v>93.333333333333371</v>
      </c>
      <c r="I304" s="19"/>
      <c r="J304" s="19"/>
      <c r="M304" s="19"/>
      <c r="N304" s="19"/>
      <c r="O304" s="19"/>
      <c r="P304" s="19"/>
      <c r="Q304" s="19"/>
      <c r="R304" s="19"/>
      <c r="S304" s="19"/>
    </row>
    <row r="305" spans="2:19" s="20" customFormat="1" outlineLevel="2" x14ac:dyDescent="0.2">
      <c r="B305" s="26"/>
      <c r="C305" s="143" t="s">
        <v>2</v>
      </c>
      <c r="D305" s="143" t="s">
        <v>516</v>
      </c>
      <c r="E305" s="143"/>
      <c r="F305" s="143" t="s">
        <v>211</v>
      </c>
      <c r="G305" s="145" t="s">
        <v>557</v>
      </c>
      <c r="H305" s="146">
        <v>93</v>
      </c>
      <c r="I305" s="19"/>
      <c r="J305" s="19"/>
      <c r="M305" s="19"/>
      <c r="N305" s="19"/>
      <c r="O305" s="19"/>
      <c r="P305" s="19"/>
      <c r="Q305" s="19"/>
      <c r="R305" s="19"/>
      <c r="S305" s="19"/>
    </row>
    <row r="306" spans="2:19" s="20" customFormat="1" outlineLevel="2" x14ac:dyDescent="0.2">
      <c r="B306" s="26"/>
      <c r="C306" s="28"/>
      <c r="D306" s="28"/>
      <c r="E306" s="28"/>
      <c r="F306" s="28"/>
      <c r="G306" s="30"/>
      <c r="H306" s="30"/>
    </row>
    <row r="307" spans="2:19" s="20" customFormat="1" outlineLevel="1" x14ac:dyDescent="0.2">
      <c r="B307" s="26"/>
      <c r="C307" s="26" t="s">
        <v>525</v>
      </c>
      <c r="D307" s="28"/>
      <c r="E307" s="28"/>
      <c r="F307" s="28"/>
      <c r="G307" s="30"/>
      <c r="H307" s="18"/>
      <c r="I307" s="95"/>
      <c r="J307" s="28"/>
      <c r="K307" s="30"/>
      <c r="L307" s="30"/>
      <c r="M307" s="28"/>
      <c r="N307" s="28"/>
      <c r="O307" s="28"/>
      <c r="P307" s="28"/>
      <c r="Q307" s="28"/>
      <c r="R307" s="28"/>
      <c r="S307" s="28"/>
    </row>
    <row r="308" spans="2:19" s="19" customFormat="1" ht="15.75" outlineLevel="2" x14ac:dyDescent="0.2">
      <c r="B308" s="26"/>
      <c r="C308" s="143" t="s">
        <v>2</v>
      </c>
      <c r="D308" s="143" t="s">
        <v>384</v>
      </c>
      <c r="E308" s="143"/>
      <c r="F308" s="143" t="s">
        <v>381</v>
      </c>
      <c r="G308" s="145" t="s">
        <v>68</v>
      </c>
      <c r="H308" s="159">
        <v>2</v>
      </c>
      <c r="K308" s="20"/>
      <c r="L308" s="20"/>
    </row>
    <row r="309" spans="2:19" s="19" customFormat="1" ht="15.75" outlineLevel="2" x14ac:dyDescent="0.2">
      <c r="B309" s="26"/>
      <c r="C309" s="143" t="s">
        <v>2</v>
      </c>
      <c r="D309" s="143" t="s">
        <v>385</v>
      </c>
      <c r="E309" s="143"/>
      <c r="F309" s="143" t="s">
        <v>382</v>
      </c>
      <c r="G309" s="145" t="s">
        <v>3</v>
      </c>
      <c r="H309" s="146">
        <v>1.25</v>
      </c>
      <c r="K309" s="20"/>
      <c r="L309" s="20"/>
    </row>
    <row r="310" spans="2:19" s="19" customFormat="1" ht="15.75" outlineLevel="2" x14ac:dyDescent="0.2">
      <c r="B310" s="26"/>
      <c r="C310" s="143" t="s">
        <v>2</v>
      </c>
      <c r="D310" s="143" t="s">
        <v>386</v>
      </c>
      <c r="E310" s="143"/>
      <c r="F310" s="143" t="s">
        <v>189</v>
      </c>
      <c r="G310" s="145" t="s">
        <v>74</v>
      </c>
      <c r="H310" s="146">
        <v>50</v>
      </c>
      <c r="K310" s="20"/>
      <c r="L310" s="20"/>
    </row>
    <row r="311" spans="2:19" s="19" customFormat="1" ht="15.75" outlineLevel="2" x14ac:dyDescent="0.2">
      <c r="B311" s="26"/>
      <c r="C311" s="143" t="s">
        <v>2</v>
      </c>
      <c r="D311" s="143" t="s">
        <v>524</v>
      </c>
      <c r="E311" s="143"/>
      <c r="F311" s="143" t="s">
        <v>188</v>
      </c>
      <c r="G311" s="145" t="s">
        <v>74</v>
      </c>
      <c r="H311" s="146">
        <v>1</v>
      </c>
      <c r="K311" s="20"/>
      <c r="L311" s="20"/>
    </row>
    <row r="312" spans="2:19" s="19" customFormat="1" ht="15.75" outlineLevel="2" x14ac:dyDescent="0.2">
      <c r="B312" s="26"/>
      <c r="C312" s="167" t="s">
        <v>8</v>
      </c>
      <c r="D312" s="168" t="s">
        <v>526</v>
      </c>
      <c r="E312" s="168" t="s">
        <v>831</v>
      </c>
      <c r="F312" s="168" t="s">
        <v>389</v>
      </c>
      <c r="G312" s="165" t="s">
        <v>557</v>
      </c>
      <c r="H312" s="174">
        <f>(H25-H297-H309)/H310</f>
        <v>0.22500000000000001</v>
      </c>
      <c r="I312" s="73"/>
      <c r="K312" s="46"/>
      <c r="L312" s="46"/>
    </row>
    <row r="313" spans="2:19" s="20" customFormat="1" outlineLevel="2" x14ac:dyDescent="0.2">
      <c r="B313" s="26"/>
      <c r="C313" s="143" t="s">
        <v>2</v>
      </c>
      <c r="D313" s="143" t="s">
        <v>527</v>
      </c>
      <c r="E313" s="143"/>
      <c r="F313" s="143" t="s">
        <v>107</v>
      </c>
      <c r="G313" s="145" t="s">
        <v>557</v>
      </c>
      <c r="H313" s="146">
        <v>0.82</v>
      </c>
      <c r="I313" s="19"/>
      <c r="J313" s="19"/>
      <c r="M313" s="19"/>
      <c r="N313" s="19"/>
      <c r="O313" s="19"/>
      <c r="P313" s="19"/>
      <c r="Q313" s="19"/>
      <c r="R313" s="19"/>
      <c r="S313" s="19"/>
    </row>
    <row r="314" spans="2:19" s="20" customFormat="1" ht="19.5" outlineLevel="2" x14ac:dyDescent="0.2">
      <c r="B314" s="26"/>
      <c r="C314" s="143" t="s">
        <v>2</v>
      </c>
      <c r="D314" s="143" t="s">
        <v>528</v>
      </c>
      <c r="E314" s="143"/>
      <c r="F314" s="143" t="s">
        <v>190</v>
      </c>
      <c r="G314" s="145" t="s">
        <v>3</v>
      </c>
      <c r="H314" s="146">
        <v>3.3</v>
      </c>
      <c r="I314" s="19"/>
      <c r="K314" s="46"/>
      <c r="L314" s="46"/>
    </row>
    <row r="315" spans="2:19" s="20" customFormat="1" ht="19.5" outlineLevel="2" x14ac:dyDescent="0.2">
      <c r="B315" s="26"/>
      <c r="C315" s="143" t="s">
        <v>2</v>
      </c>
      <c r="D315" s="143" t="s">
        <v>530</v>
      </c>
      <c r="E315" s="143"/>
      <c r="F315" s="143" t="s">
        <v>529</v>
      </c>
      <c r="G315" s="145" t="s">
        <v>3</v>
      </c>
      <c r="H315" s="146">
        <v>2.75</v>
      </c>
      <c r="I315" s="19"/>
      <c r="K315" s="46"/>
      <c r="L315" s="46"/>
    </row>
    <row r="316" spans="2:19" s="19" customFormat="1" ht="19.5" outlineLevel="2" x14ac:dyDescent="0.2">
      <c r="B316" s="26"/>
      <c r="C316" s="143" t="s">
        <v>2</v>
      </c>
      <c r="D316" s="143" t="s">
        <v>468</v>
      </c>
      <c r="E316" s="143"/>
      <c r="F316" s="143" t="s">
        <v>191</v>
      </c>
      <c r="G316" s="145" t="s">
        <v>557</v>
      </c>
      <c r="H316" s="146">
        <v>15</v>
      </c>
      <c r="J316" s="20"/>
      <c r="K316" s="46"/>
      <c r="L316" s="46"/>
      <c r="M316" s="20"/>
      <c r="N316" s="20"/>
      <c r="O316" s="20"/>
      <c r="P316" s="20"/>
      <c r="Q316" s="20"/>
      <c r="R316" s="20"/>
      <c r="S316" s="20"/>
    </row>
    <row r="317" spans="2:19" s="19" customFormat="1" ht="15.75" outlineLevel="2" x14ac:dyDescent="0.2">
      <c r="B317" s="26"/>
      <c r="C317" s="167" t="s">
        <v>8</v>
      </c>
      <c r="D317" s="168" t="s">
        <v>531</v>
      </c>
      <c r="E317" s="168" t="s">
        <v>832</v>
      </c>
      <c r="F317" s="168" t="s">
        <v>390</v>
      </c>
      <c r="G317" s="165" t="s">
        <v>557</v>
      </c>
      <c r="H317" s="169">
        <f>(H309+(H313*((H314-H315)/H316)/H308))/H311</f>
        <v>1.2650333333333332</v>
      </c>
      <c r="I317" s="73"/>
      <c r="K317" s="46"/>
      <c r="L317" s="46"/>
    </row>
    <row r="318" spans="2:19" s="20" customFormat="1" outlineLevel="2" x14ac:dyDescent="0.2">
      <c r="B318" s="26"/>
      <c r="C318" s="143" t="s">
        <v>2</v>
      </c>
      <c r="D318" s="143" t="s">
        <v>532</v>
      </c>
      <c r="E318" s="143"/>
      <c r="F318" s="143" t="s">
        <v>108</v>
      </c>
      <c r="G318" s="145" t="s">
        <v>557</v>
      </c>
      <c r="H318" s="146">
        <v>1.2</v>
      </c>
      <c r="I318" s="19"/>
      <c r="J318" s="19"/>
      <c r="M318" s="19"/>
      <c r="N318" s="19"/>
      <c r="O318" s="19"/>
      <c r="P318" s="19"/>
      <c r="Q318" s="19"/>
      <c r="R318" s="19"/>
      <c r="S318" s="19"/>
    </row>
    <row r="319" spans="2:19" s="20" customFormat="1" outlineLevel="2" x14ac:dyDescent="0.2">
      <c r="B319" s="26"/>
      <c r="C319" s="28"/>
      <c r="D319" s="28"/>
      <c r="E319" s="28"/>
      <c r="F319" s="28"/>
      <c r="G319" s="30"/>
      <c r="H319" s="30"/>
    </row>
    <row r="320" spans="2:19" s="20" customFormat="1" outlineLevel="1" x14ac:dyDescent="0.2">
      <c r="B320" s="26"/>
      <c r="C320" s="26" t="s">
        <v>387</v>
      </c>
      <c r="D320" s="28"/>
      <c r="E320" s="28"/>
      <c r="F320" s="28"/>
      <c r="G320" s="30"/>
      <c r="H320" s="18"/>
      <c r="I320" s="95"/>
      <c r="J320" s="28"/>
      <c r="K320" s="30"/>
      <c r="L320" s="30"/>
      <c r="M320" s="28"/>
      <c r="N320" s="28"/>
      <c r="O320" s="28"/>
      <c r="P320" s="28"/>
      <c r="Q320" s="28"/>
      <c r="R320" s="28"/>
      <c r="S320" s="28"/>
    </row>
    <row r="321" spans="2:19" s="19" customFormat="1" ht="15.75" outlineLevel="2" x14ac:dyDescent="0.2">
      <c r="B321" s="26"/>
      <c r="C321" s="167" t="s">
        <v>8</v>
      </c>
      <c r="D321" s="170" t="s">
        <v>534</v>
      </c>
      <c r="E321" s="170" t="s">
        <v>833</v>
      </c>
      <c r="F321" s="168" t="s">
        <v>121</v>
      </c>
      <c r="G321" s="165"/>
      <c r="H321" s="169">
        <f>H308*H316/(H313)</f>
        <v>36.585365853658537</v>
      </c>
      <c r="I321" s="73"/>
      <c r="K321" s="46"/>
      <c r="L321" s="46"/>
    </row>
    <row r="322" spans="2:19" s="20" customFormat="1" ht="15.75" outlineLevel="2" x14ac:dyDescent="0.2">
      <c r="B322" s="26"/>
      <c r="C322" s="167" t="s">
        <v>8</v>
      </c>
      <c r="D322" s="170" t="s">
        <v>535</v>
      </c>
      <c r="E322" s="170" t="s">
        <v>834</v>
      </c>
      <c r="F322" s="168" t="s">
        <v>122</v>
      </c>
      <c r="G322" s="165" t="s">
        <v>78</v>
      </c>
      <c r="H322" s="169">
        <f>LOG10(H321)*20</f>
        <v>31.266148046718914</v>
      </c>
      <c r="I322" s="73"/>
      <c r="J322" s="19"/>
      <c r="K322" s="46"/>
      <c r="L322" s="46"/>
      <c r="M322" s="19"/>
      <c r="N322" s="19"/>
      <c r="O322" s="19"/>
      <c r="P322" s="19"/>
      <c r="Q322" s="19"/>
      <c r="R322" s="19"/>
      <c r="S322" s="19"/>
    </row>
    <row r="323" spans="2:19" s="19" customFormat="1" ht="15.75" outlineLevel="2" x14ac:dyDescent="0.2">
      <c r="B323" s="26"/>
      <c r="C323" s="167" t="s">
        <v>8</v>
      </c>
      <c r="D323" s="168" t="s">
        <v>536</v>
      </c>
      <c r="E323" s="170" t="s">
        <v>835</v>
      </c>
      <c r="F323" s="168" t="s">
        <v>123</v>
      </c>
      <c r="G323" s="165"/>
      <c r="H323" s="173">
        <f>H297/H25</f>
        <v>0.16666666666666666</v>
      </c>
      <c r="I323" s="73"/>
      <c r="K323" s="46"/>
      <c r="L323" s="46"/>
    </row>
    <row r="324" spans="2:19" s="20" customFormat="1" ht="15.75" outlineLevel="2" x14ac:dyDescent="0.2">
      <c r="B324" s="26"/>
      <c r="C324" s="167" t="s">
        <v>8</v>
      </c>
      <c r="D324" s="168" t="s">
        <v>537</v>
      </c>
      <c r="E324" s="170" t="s">
        <v>836</v>
      </c>
      <c r="F324" s="168" t="s">
        <v>124</v>
      </c>
      <c r="G324" s="165" t="s">
        <v>78</v>
      </c>
      <c r="H324" s="169">
        <f>LOG10(H323)*20</f>
        <v>-15.563025007672874</v>
      </c>
      <c r="I324" s="73"/>
      <c r="J324" s="19"/>
      <c r="K324" s="46"/>
      <c r="L324" s="46"/>
      <c r="M324" s="19"/>
      <c r="N324" s="19"/>
      <c r="O324" s="19"/>
      <c r="P324" s="19"/>
      <c r="Q324" s="19"/>
      <c r="R324" s="19"/>
      <c r="S324" s="19"/>
    </row>
    <row r="325" spans="2:19" s="19" customFormat="1" ht="15.75" outlineLevel="2" x14ac:dyDescent="0.2">
      <c r="B325" s="26"/>
      <c r="C325" s="167" t="s">
        <v>8</v>
      </c>
      <c r="D325" s="168" t="s">
        <v>538</v>
      </c>
      <c r="E325" s="170" t="s">
        <v>837</v>
      </c>
      <c r="F325" s="168" t="s">
        <v>161</v>
      </c>
      <c r="G325" s="165" t="s">
        <v>558</v>
      </c>
      <c r="H325" s="169">
        <f>H25^2/H47</f>
        <v>13.235294117647058</v>
      </c>
      <c r="I325" s="73"/>
      <c r="K325" s="46"/>
      <c r="L325" s="46"/>
    </row>
    <row r="326" spans="2:19" s="20" customFormat="1" ht="15.75" outlineLevel="2" x14ac:dyDescent="0.2">
      <c r="B326" s="26"/>
      <c r="C326" s="167" t="s">
        <v>8</v>
      </c>
      <c r="D326" s="168" t="s">
        <v>539</v>
      </c>
      <c r="E326" s="170" t="s">
        <v>838</v>
      </c>
      <c r="F326" s="168" t="s">
        <v>162</v>
      </c>
      <c r="G326" s="165" t="s">
        <v>558</v>
      </c>
      <c r="H326" s="169">
        <f>H25^2/H49</f>
        <v>112.5</v>
      </c>
      <c r="I326" s="73"/>
      <c r="J326" s="19"/>
      <c r="K326" s="46"/>
      <c r="L326" s="46"/>
      <c r="M326" s="19"/>
      <c r="N326" s="19"/>
      <c r="O326" s="19"/>
      <c r="P326" s="19"/>
      <c r="Q326" s="19"/>
      <c r="R326" s="19"/>
      <c r="S326" s="19"/>
    </row>
    <row r="327" spans="2:19" s="19" customFormat="1" ht="15.75" outlineLevel="2" x14ac:dyDescent="0.2">
      <c r="B327" s="26"/>
      <c r="C327" s="167" t="s">
        <v>8</v>
      </c>
      <c r="D327" s="168" t="s">
        <v>540</v>
      </c>
      <c r="E327" s="170" t="s">
        <v>839</v>
      </c>
      <c r="F327" s="168" t="s">
        <v>163</v>
      </c>
      <c r="G327" s="165" t="s">
        <v>7</v>
      </c>
      <c r="H327" s="169">
        <f>1/(PI()*(H325*H191*H193))*1000000</f>
        <v>35.367765131532302</v>
      </c>
      <c r="I327" s="73"/>
      <c r="K327" s="46"/>
      <c r="L327" s="46"/>
    </row>
    <row r="328" spans="2:19" s="19" customFormat="1" ht="15.75" outlineLevel="2" x14ac:dyDescent="0.2">
      <c r="B328" s="26"/>
      <c r="C328" s="167" t="s">
        <v>8</v>
      </c>
      <c r="D328" s="168" t="s">
        <v>541</v>
      </c>
      <c r="E328" s="170" t="s">
        <v>840</v>
      </c>
      <c r="F328" s="168" t="s">
        <v>164</v>
      </c>
      <c r="G328" s="165" t="s">
        <v>7</v>
      </c>
      <c r="H328" s="169">
        <f>1/(PI()*(H326*H191*H193))*1000000</f>
        <v>4.1609135448861529</v>
      </c>
      <c r="I328" s="73"/>
      <c r="K328" s="46"/>
      <c r="L328" s="46"/>
    </row>
    <row r="329" spans="2:19" s="20" customFormat="1" ht="15.75" outlineLevel="2" x14ac:dyDescent="0.2">
      <c r="B329" s="26"/>
      <c r="C329" s="167" t="s">
        <v>8</v>
      </c>
      <c r="D329" s="168" t="s">
        <v>542</v>
      </c>
      <c r="E329" s="170" t="s">
        <v>841</v>
      </c>
      <c r="F329" s="168" t="s">
        <v>165</v>
      </c>
      <c r="G329" s="165" t="s">
        <v>7</v>
      </c>
      <c r="H329" s="169">
        <f>H327*POWER(10,0.5*LOG10(H328/H327))</f>
        <v>12.131043359420692</v>
      </c>
      <c r="I329" s="73"/>
      <c r="J329" s="19"/>
      <c r="K329" s="46"/>
      <c r="L329" s="46"/>
      <c r="M329" s="19"/>
      <c r="N329" s="19"/>
      <c r="O329" s="19"/>
      <c r="P329" s="19"/>
      <c r="Q329" s="19"/>
      <c r="R329" s="19"/>
      <c r="S329" s="19"/>
    </row>
    <row r="330" spans="2:19" s="19" customFormat="1" outlineLevel="2" x14ac:dyDescent="0.2">
      <c r="B330" s="26"/>
      <c r="C330" s="143" t="s">
        <v>2</v>
      </c>
      <c r="D330" s="143" t="s">
        <v>543</v>
      </c>
      <c r="E330" s="143"/>
      <c r="F330" s="143" t="s">
        <v>76</v>
      </c>
      <c r="G330" s="145" t="s">
        <v>77</v>
      </c>
      <c r="H330" s="146">
        <v>3</v>
      </c>
      <c r="K330" s="20"/>
      <c r="L330" s="20"/>
    </row>
    <row r="331" spans="2:19" s="19" customFormat="1" ht="15.75" outlineLevel="2" x14ac:dyDescent="0.2">
      <c r="B331" s="26"/>
      <c r="C331" s="143" t="s">
        <v>2</v>
      </c>
      <c r="D331" s="143" t="s">
        <v>101</v>
      </c>
      <c r="E331" s="143"/>
      <c r="F331" s="143" t="s">
        <v>469</v>
      </c>
      <c r="G331" s="145"/>
      <c r="H331" s="146">
        <v>2.0299999999999998</v>
      </c>
      <c r="K331" s="20"/>
      <c r="L331" s="20"/>
    </row>
    <row r="332" spans="2:19" s="20" customFormat="1" ht="15.75" outlineLevel="2" x14ac:dyDescent="0.2">
      <c r="B332" s="26"/>
      <c r="C332" s="167" t="s">
        <v>8</v>
      </c>
      <c r="D332" s="170" t="s">
        <v>533</v>
      </c>
      <c r="E332" s="168" t="s">
        <v>834</v>
      </c>
      <c r="F332" s="168" t="s">
        <v>115</v>
      </c>
      <c r="G332" s="165" t="s">
        <v>75</v>
      </c>
      <c r="H332" s="172">
        <f>H331*H181/H180</f>
        <v>2.3669634460699189</v>
      </c>
      <c r="I332" s="19"/>
      <c r="J332" s="19"/>
      <c r="M332" s="19"/>
      <c r="N332" s="19"/>
      <c r="O332" s="19"/>
      <c r="P332" s="19"/>
      <c r="Q332" s="19"/>
      <c r="R332" s="19"/>
      <c r="S332" s="19"/>
    </row>
    <row r="333" spans="2:19" s="19" customFormat="1" ht="15.75" outlineLevel="2" x14ac:dyDescent="0.2">
      <c r="B333" s="26"/>
      <c r="C333" s="167" t="s">
        <v>8</v>
      </c>
      <c r="D333" s="170" t="s">
        <v>544</v>
      </c>
      <c r="E333" s="168" t="s">
        <v>835</v>
      </c>
      <c r="F333" s="168" t="s">
        <v>125</v>
      </c>
      <c r="G333" s="165"/>
      <c r="H333" s="171">
        <f>(1/H332)*(SQRT(H325*H81*H53*H45/2))/(SQRT(1+(H330*1000/H327)^2))</f>
        <v>8.7106668882146784E-2</v>
      </c>
      <c r="I333" s="73"/>
      <c r="K333" s="46"/>
      <c r="L333" s="46"/>
    </row>
    <row r="334" spans="2:19" s="20" customFormat="1" ht="15.75" outlineLevel="2" x14ac:dyDescent="0.2">
      <c r="B334" s="26"/>
      <c r="C334" s="167" t="s">
        <v>8</v>
      </c>
      <c r="D334" s="170" t="s">
        <v>545</v>
      </c>
      <c r="E334" s="168" t="s">
        <v>836</v>
      </c>
      <c r="F334" s="168" t="s">
        <v>126</v>
      </c>
      <c r="G334" s="165" t="s">
        <v>78</v>
      </c>
      <c r="H334" s="169">
        <f>LOG10(H333)*20</f>
        <v>-21.198971883119921</v>
      </c>
      <c r="I334" s="73"/>
      <c r="J334" s="19"/>
      <c r="K334" s="46"/>
      <c r="L334" s="46"/>
      <c r="M334" s="19"/>
      <c r="N334" s="19"/>
      <c r="O334" s="19"/>
      <c r="P334" s="19"/>
      <c r="Q334" s="19"/>
      <c r="R334" s="19"/>
      <c r="S334" s="19"/>
    </row>
    <row r="335" spans="2:19" s="20" customFormat="1" outlineLevel="2" x14ac:dyDescent="0.2">
      <c r="B335" s="26"/>
      <c r="C335" s="167" t="s">
        <v>8</v>
      </c>
      <c r="D335" s="170" t="s">
        <v>546</v>
      </c>
      <c r="E335" s="168" t="s">
        <v>837</v>
      </c>
      <c r="F335" s="168" t="s">
        <v>547</v>
      </c>
      <c r="G335" s="165" t="s">
        <v>78</v>
      </c>
      <c r="H335" s="171">
        <f>(H322+H324+H334)</f>
        <v>-5.4958488440738797</v>
      </c>
      <c r="I335" s="73"/>
      <c r="J335" s="19"/>
      <c r="K335" s="46"/>
      <c r="L335" s="46"/>
      <c r="M335" s="19"/>
      <c r="N335" s="19"/>
      <c r="O335" s="19"/>
      <c r="P335" s="19"/>
      <c r="Q335" s="19"/>
      <c r="R335" s="19"/>
      <c r="S335" s="19"/>
    </row>
    <row r="336" spans="2:19" s="20" customFormat="1" outlineLevel="2" x14ac:dyDescent="0.2">
      <c r="B336" s="26"/>
      <c r="C336" s="167" t="s">
        <v>8</v>
      </c>
      <c r="D336" s="170" t="s">
        <v>549</v>
      </c>
      <c r="E336" s="168" t="s">
        <v>838</v>
      </c>
      <c r="F336" s="168" t="s">
        <v>548</v>
      </c>
      <c r="G336" s="165" t="s">
        <v>78</v>
      </c>
      <c r="H336" s="171">
        <f>0-(H322+H324+H334)</f>
        <v>5.4958488440738797</v>
      </c>
      <c r="I336" s="73"/>
      <c r="J336" s="19"/>
      <c r="K336" s="46"/>
      <c r="L336" s="46"/>
      <c r="M336" s="19"/>
      <c r="N336" s="19"/>
      <c r="O336" s="19"/>
      <c r="P336" s="19"/>
      <c r="Q336" s="19"/>
      <c r="R336" s="19"/>
      <c r="S336" s="19"/>
    </row>
    <row r="337" spans="2:19" s="19" customFormat="1" ht="15.75" outlineLevel="2" x14ac:dyDescent="0.2">
      <c r="B337" s="26"/>
      <c r="C337" s="167" t="s">
        <v>8</v>
      </c>
      <c r="D337" s="170" t="s">
        <v>550</v>
      </c>
      <c r="E337" s="168" t="s">
        <v>839</v>
      </c>
      <c r="F337" s="168" t="s">
        <v>393</v>
      </c>
      <c r="G337" s="165" t="s">
        <v>557</v>
      </c>
      <c r="H337" s="169">
        <f>POWER(10,H336/20)*(H303*H301/(H301+H303))</f>
        <v>15.974840610629226</v>
      </c>
      <c r="I337" s="73"/>
      <c r="K337" s="46"/>
      <c r="L337" s="46"/>
    </row>
    <row r="338" spans="2:19" s="20" customFormat="1" outlineLevel="2" x14ac:dyDescent="0.2">
      <c r="B338" s="26"/>
      <c r="C338" s="143" t="s">
        <v>2</v>
      </c>
      <c r="D338" s="143" t="s">
        <v>551</v>
      </c>
      <c r="E338" s="143"/>
      <c r="F338" s="143" t="s">
        <v>109</v>
      </c>
      <c r="G338" s="145" t="s">
        <v>557</v>
      </c>
      <c r="H338" s="146">
        <v>16</v>
      </c>
      <c r="I338" s="19"/>
      <c r="J338" s="19"/>
      <c r="M338" s="19"/>
      <c r="N338" s="19"/>
      <c r="O338" s="19"/>
      <c r="P338" s="19"/>
      <c r="Q338" s="19"/>
      <c r="R338" s="19"/>
      <c r="S338" s="19"/>
    </row>
    <row r="339" spans="2:19" s="19" customFormat="1" ht="15.75" outlineLevel="2" x14ac:dyDescent="0.2">
      <c r="B339" s="26"/>
      <c r="C339" s="167" t="s">
        <v>8</v>
      </c>
      <c r="D339" s="170" t="s">
        <v>553</v>
      </c>
      <c r="E339" s="168" t="s">
        <v>840</v>
      </c>
      <c r="F339" s="168" t="s">
        <v>392</v>
      </c>
      <c r="G339" s="165" t="s">
        <v>39</v>
      </c>
      <c r="H339" s="171">
        <f>(1/(2*PI()*H338*10^3*H330*10^3))*10^9</f>
        <v>3.3157279810811531</v>
      </c>
      <c r="I339" s="73"/>
      <c r="K339" s="46"/>
      <c r="L339" s="46"/>
    </row>
    <row r="340" spans="2:19" s="20" customFormat="1" outlineLevel="2" x14ac:dyDescent="0.2">
      <c r="B340" s="26"/>
      <c r="C340" s="143" t="s">
        <v>2</v>
      </c>
      <c r="D340" s="143" t="s">
        <v>552</v>
      </c>
      <c r="E340" s="143"/>
      <c r="F340" s="143" t="s">
        <v>110</v>
      </c>
      <c r="G340" s="145" t="s">
        <v>39</v>
      </c>
      <c r="H340" s="146">
        <v>3.3</v>
      </c>
      <c r="I340" s="19"/>
      <c r="J340" s="19"/>
      <c r="M340" s="19"/>
      <c r="N340" s="19"/>
      <c r="O340" s="19"/>
      <c r="P340" s="19"/>
      <c r="Q340" s="19"/>
      <c r="R340" s="19"/>
      <c r="S340" s="19"/>
    </row>
    <row r="341" spans="2:19" s="19" customFormat="1" ht="15.75" outlineLevel="2" x14ac:dyDescent="0.2">
      <c r="B341" s="26"/>
      <c r="C341" s="167" t="s">
        <v>8</v>
      </c>
      <c r="D341" s="170" t="s">
        <v>553</v>
      </c>
      <c r="E341" s="168" t="s">
        <v>841</v>
      </c>
      <c r="F341" s="168" t="s">
        <v>391</v>
      </c>
      <c r="G341" s="165" t="s">
        <v>39</v>
      </c>
      <c r="H341" s="169">
        <f>((1/(2*PI()*H338*1000*H329))-H340*10^(-9))*10^9</f>
        <v>816.67761021262061</v>
      </c>
      <c r="I341" s="73"/>
      <c r="K341" s="46"/>
      <c r="L341" s="46"/>
    </row>
    <row r="342" spans="2:19" s="85" customFormat="1" outlineLevel="2" x14ac:dyDescent="0.2">
      <c r="B342" s="26"/>
      <c r="C342" s="143" t="s">
        <v>2</v>
      </c>
      <c r="D342" s="143" t="s">
        <v>552</v>
      </c>
      <c r="E342" s="143"/>
      <c r="F342" s="143" t="s">
        <v>111</v>
      </c>
      <c r="G342" s="145" t="s">
        <v>39</v>
      </c>
      <c r="H342" s="146">
        <v>820</v>
      </c>
      <c r="I342" s="19"/>
      <c r="J342" s="19"/>
      <c r="K342" s="20"/>
      <c r="L342" s="20"/>
      <c r="M342" s="19"/>
      <c r="N342" s="19"/>
      <c r="O342" s="19"/>
      <c r="P342" s="19"/>
      <c r="Q342" s="19"/>
      <c r="R342" s="19"/>
      <c r="S342" s="19"/>
    </row>
    <row r="343" spans="2:19" s="85" customFormat="1" outlineLevel="2" x14ac:dyDescent="0.2">
      <c r="B343" s="26"/>
      <c r="C343" s="28"/>
      <c r="D343" s="28"/>
      <c r="E343" s="28"/>
      <c r="F343" s="28"/>
      <c r="G343" s="30"/>
      <c r="H343" s="3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2:19" s="85" customFormat="1" x14ac:dyDescent="0.2">
      <c r="B344" s="26" t="s">
        <v>394</v>
      </c>
      <c r="D344" s="90"/>
      <c r="E344" s="90"/>
      <c r="F344" s="90"/>
      <c r="G344" s="90"/>
      <c r="H344" s="90"/>
      <c r="I344" s="28"/>
      <c r="K344" s="28"/>
      <c r="L344" s="28"/>
    </row>
    <row r="345" spans="2:19" s="85" customFormat="1" ht="13.5" outlineLevel="1" thickBot="1" x14ac:dyDescent="0.25">
      <c r="B345" s="20"/>
      <c r="C345" s="93" t="s">
        <v>395</v>
      </c>
      <c r="D345" s="90"/>
      <c r="E345" s="90"/>
      <c r="F345" s="90"/>
      <c r="G345" s="90"/>
      <c r="H345" s="90"/>
      <c r="I345" s="28"/>
      <c r="K345" s="28"/>
      <c r="L345" s="28"/>
    </row>
    <row r="346" spans="2:19" s="85" customFormat="1" ht="288.75" customHeight="1" outlineLevel="2" thickBot="1" x14ac:dyDescent="0.25">
      <c r="B346" s="20"/>
      <c r="C346" s="187"/>
      <c r="D346" s="188"/>
      <c r="E346" s="188"/>
      <c r="F346" s="188"/>
      <c r="G346" s="188"/>
      <c r="H346" s="189"/>
      <c r="I346" s="28"/>
      <c r="K346" s="28"/>
      <c r="L346" s="28"/>
    </row>
    <row r="347" spans="2:19" s="85" customFormat="1" outlineLevel="2" x14ac:dyDescent="0.2">
      <c r="B347" s="20"/>
      <c r="C347" s="94"/>
      <c r="D347" s="94"/>
      <c r="E347" s="94"/>
      <c r="F347" s="94"/>
      <c r="G347" s="94"/>
      <c r="H347" s="94"/>
      <c r="I347" s="28"/>
      <c r="K347" s="28"/>
      <c r="L347" s="28"/>
    </row>
    <row r="348" spans="2:19" s="20" customFormat="1" outlineLevel="1" x14ac:dyDescent="0.2">
      <c r="C348" s="26" t="s">
        <v>383</v>
      </c>
      <c r="D348" s="28"/>
      <c r="E348" s="28"/>
      <c r="F348" s="28"/>
      <c r="G348" s="30"/>
      <c r="H348" s="18"/>
      <c r="I348" s="95"/>
      <c r="J348" s="28"/>
      <c r="K348" s="30"/>
      <c r="L348" s="30"/>
      <c r="M348" s="28"/>
      <c r="N348" s="28"/>
      <c r="O348" s="28"/>
      <c r="P348" s="28"/>
      <c r="Q348" s="28"/>
      <c r="R348" s="28"/>
      <c r="S348" s="28"/>
    </row>
    <row r="349" spans="2:19" s="19" customFormat="1" ht="15.75" outlineLevel="2" x14ac:dyDescent="0.2">
      <c r="B349" s="20"/>
      <c r="C349" s="143" t="s">
        <v>2</v>
      </c>
      <c r="D349" s="143" t="s">
        <v>713</v>
      </c>
      <c r="E349" s="143"/>
      <c r="F349" s="143" t="s">
        <v>396</v>
      </c>
      <c r="G349" s="145" t="s">
        <v>3</v>
      </c>
      <c r="H349" s="146">
        <v>1.8</v>
      </c>
      <c r="K349" s="20"/>
      <c r="L349" s="20"/>
    </row>
    <row r="350" spans="2:19" s="19" customFormat="1" ht="15.75" outlineLevel="2" x14ac:dyDescent="0.2">
      <c r="B350" s="20"/>
      <c r="C350" s="143" t="s">
        <v>2</v>
      </c>
      <c r="D350" s="143" t="s">
        <v>522</v>
      </c>
      <c r="E350" s="143"/>
      <c r="F350" s="143" t="s">
        <v>210</v>
      </c>
      <c r="G350" s="145" t="s">
        <v>371</v>
      </c>
      <c r="H350" s="159">
        <v>0.31</v>
      </c>
      <c r="K350" s="20"/>
      <c r="L350" s="20"/>
    </row>
    <row r="351" spans="2:19" s="19" customFormat="1" ht="15.75" outlineLevel="2" x14ac:dyDescent="0.2">
      <c r="B351" s="20"/>
      <c r="C351" s="143" t="s">
        <v>2</v>
      </c>
      <c r="D351" s="143" t="s">
        <v>657</v>
      </c>
      <c r="E351" s="143"/>
      <c r="F351" s="143" t="s">
        <v>716</v>
      </c>
      <c r="G351" s="145" t="s">
        <v>557</v>
      </c>
      <c r="H351" s="146">
        <v>39</v>
      </c>
      <c r="K351" s="20"/>
      <c r="L351" s="20"/>
    </row>
    <row r="352" spans="2:19" s="19" customFormat="1" ht="15.75" outlineLevel="2" x14ac:dyDescent="0.2">
      <c r="B352" s="20"/>
      <c r="C352" s="167" t="s">
        <v>8</v>
      </c>
      <c r="D352" s="168" t="s">
        <v>487</v>
      </c>
      <c r="E352" s="168" t="s">
        <v>842</v>
      </c>
      <c r="F352" s="168" t="s">
        <v>718</v>
      </c>
      <c r="G352" s="165" t="s">
        <v>557</v>
      </c>
      <c r="H352" s="169">
        <f>(H25-H349)/(H350*H349/H351)</f>
        <v>922.58064516129014</v>
      </c>
      <c r="I352" s="73"/>
      <c r="K352" s="46"/>
      <c r="L352" s="46"/>
    </row>
    <row r="353" spans="2:19" s="19" customFormat="1" ht="15.75" outlineLevel="2" x14ac:dyDescent="0.2">
      <c r="B353" s="20"/>
      <c r="C353" s="143" t="s">
        <v>2</v>
      </c>
      <c r="D353" s="143" t="s">
        <v>658</v>
      </c>
      <c r="E353" s="143"/>
      <c r="F353" s="143" t="s">
        <v>717</v>
      </c>
      <c r="G353" s="145" t="s">
        <v>557</v>
      </c>
      <c r="H353" s="158">
        <v>910</v>
      </c>
      <c r="I353" s="73"/>
      <c r="K353" s="46"/>
      <c r="L353" s="46"/>
    </row>
    <row r="354" spans="2:19" s="20" customFormat="1" ht="15.75" outlineLevel="2" x14ac:dyDescent="0.2">
      <c r="C354" s="167" t="s">
        <v>8</v>
      </c>
      <c r="D354" s="168" t="s">
        <v>488</v>
      </c>
      <c r="E354" s="168" t="s">
        <v>843</v>
      </c>
      <c r="F354" s="168" t="s">
        <v>719</v>
      </c>
      <c r="G354" s="165" t="s">
        <v>557</v>
      </c>
      <c r="H354" s="169">
        <f>(H33-H349)/(H349/H351-((H25-H349)/H353))</f>
        <v>101.1111111111111</v>
      </c>
      <c r="I354" s="19"/>
      <c r="J354" s="19"/>
      <c r="M354" s="19"/>
      <c r="N354" s="19"/>
      <c r="O354" s="19"/>
      <c r="P354" s="19"/>
      <c r="Q354" s="19"/>
      <c r="R354" s="19"/>
      <c r="S354" s="19"/>
    </row>
    <row r="355" spans="2:19" s="20" customFormat="1" ht="15.75" outlineLevel="2" x14ac:dyDescent="0.2">
      <c r="C355" s="143" t="s">
        <v>2</v>
      </c>
      <c r="D355" s="143" t="s">
        <v>659</v>
      </c>
      <c r="E355" s="143"/>
      <c r="F355" s="143" t="s">
        <v>720</v>
      </c>
      <c r="G355" s="145" t="s">
        <v>557</v>
      </c>
      <c r="H355" s="146">
        <v>100</v>
      </c>
      <c r="I355" s="72" t="str">
        <f>IF((1/((1/H351)+(1/H353)+(1/H355)))&lt;25.3,"Caution! Parallel combination of RO1, RO2 and RO3 should be greater than 25.3kΩ. Increase RO1 (cell H351)","")</f>
        <v/>
      </c>
      <c r="J355" s="19"/>
      <c r="M355" s="19"/>
      <c r="N355" s="19"/>
      <c r="O355" s="19"/>
      <c r="P355" s="19"/>
      <c r="Q355" s="19"/>
      <c r="R355" s="19"/>
      <c r="S355" s="19"/>
    </row>
    <row r="356" spans="2:19" s="20" customFormat="1" outlineLevel="2" x14ac:dyDescent="0.2">
      <c r="C356" s="28"/>
      <c r="D356" s="28"/>
      <c r="E356" s="28"/>
      <c r="F356" s="28"/>
      <c r="G356" s="30"/>
      <c r="H356" s="30"/>
    </row>
    <row r="357" spans="2:19" s="85" customFormat="1" x14ac:dyDescent="0.2">
      <c r="B357" s="26" t="s">
        <v>562</v>
      </c>
      <c r="C357" s="96"/>
      <c r="D357" s="97"/>
      <c r="E357" s="97"/>
      <c r="F357" s="90"/>
      <c r="G357" s="98"/>
      <c r="H357" s="99"/>
      <c r="I357" s="28"/>
      <c r="K357" s="28"/>
      <c r="L357" s="28"/>
    </row>
    <row r="358" spans="2:19" s="100" customFormat="1" outlineLevel="1" x14ac:dyDescent="0.2">
      <c r="C358" s="101" t="s">
        <v>49</v>
      </c>
      <c r="E358" s="84"/>
      <c r="F358" s="84"/>
      <c r="G358" s="84"/>
      <c r="H358" s="84"/>
      <c r="K358" s="102"/>
      <c r="L358" s="102"/>
    </row>
    <row r="359" spans="2:19" s="100" customFormat="1" outlineLevel="2" x14ac:dyDescent="0.2">
      <c r="B359" s="102"/>
      <c r="D359" s="160" t="s">
        <v>50</v>
      </c>
      <c r="E359" s="160"/>
      <c r="F359" s="160"/>
      <c r="G359" s="161" t="s">
        <v>3</v>
      </c>
      <c r="H359" s="164">
        <f>H19</f>
        <v>85</v>
      </c>
      <c r="K359" s="102"/>
      <c r="L359" s="102"/>
    </row>
    <row r="360" spans="2:19" s="100" customFormat="1" outlineLevel="2" x14ac:dyDescent="0.2">
      <c r="B360" s="102"/>
      <c r="D360" s="160" t="s">
        <v>51</v>
      </c>
      <c r="E360" s="160"/>
      <c r="F360" s="160"/>
      <c r="G360" s="161" t="s">
        <v>3</v>
      </c>
      <c r="H360" s="164">
        <f>H20</f>
        <v>330</v>
      </c>
      <c r="K360" s="102"/>
      <c r="L360" s="102"/>
    </row>
    <row r="361" spans="2:19" s="100" customFormat="1" outlineLevel="2" x14ac:dyDescent="0.2">
      <c r="B361" s="102"/>
      <c r="D361" s="160" t="s">
        <v>52</v>
      </c>
      <c r="E361" s="160"/>
      <c r="F361" s="160"/>
      <c r="G361" s="161" t="s">
        <v>10</v>
      </c>
      <c r="H361" s="163">
        <f>H48/H19</f>
        <v>0.24096385542168677</v>
      </c>
      <c r="K361" s="102"/>
      <c r="L361" s="102"/>
    </row>
    <row r="362" spans="2:19" s="100" customFormat="1" outlineLevel="2" x14ac:dyDescent="0.2">
      <c r="B362" s="102"/>
      <c r="D362" s="160" t="s">
        <v>53</v>
      </c>
      <c r="E362" s="160"/>
      <c r="F362" s="160"/>
      <c r="G362" s="161" t="s">
        <v>3</v>
      </c>
      <c r="H362" s="164">
        <f>H70</f>
        <v>93.632349193046835</v>
      </c>
      <c r="K362" s="102"/>
      <c r="L362" s="102"/>
    </row>
    <row r="363" spans="2:19" s="100" customFormat="1" outlineLevel="2" x14ac:dyDescent="0.2">
      <c r="B363" s="102"/>
      <c r="D363" s="160" t="s">
        <v>54</v>
      </c>
      <c r="E363" s="160"/>
      <c r="F363" s="160"/>
      <c r="G363" s="161" t="s">
        <v>3</v>
      </c>
      <c r="H363" s="164">
        <f>H61</f>
        <v>466.69047558312138</v>
      </c>
      <c r="K363" s="102"/>
      <c r="L363" s="102"/>
    </row>
    <row r="364" spans="2:19" s="100" customFormat="1" outlineLevel="2" x14ac:dyDescent="0.2">
      <c r="B364" s="102"/>
      <c r="D364" s="160" t="s">
        <v>55</v>
      </c>
      <c r="E364" s="160"/>
      <c r="F364" s="160"/>
      <c r="G364" s="161" t="s">
        <v>5</v>
      </c>
      <c r="H364" s="162">
        <f>H47</f>
        <v>17</v>
      </c>
      <c r="K364" s="102"/>
      <c r="L364" s="102"/>
    </row>
    <row r="365" spans="2:19" s="100" customFormat="1" outlineLevel="2" x14ac:dyDescent="0.2">
      <c r="B365" s="102"/>
      <c r="D365" s="160" t="s">
        <v>400</v>
      </c>
      <c r="E365" s="160"/>
      <c r="F365" s="160"/>
      <c r="G365" s="161" t="s">
        <v>3</v>
      </c>
      <c r="H365" s="162">
        <f>H25</f>
        <v>15</v>
      </c>
      <c r="K365" s="102"/>
      <c r="L365" s="102"/>
    </row>
    <row r="366" spans="2:19" s="100" customFormat="1" outlineLevel="2" x14ac:dyDescent="0.2">
      <c r="B366" s="102"/>
      <c r="D366" s="160" t="s">
        <v>403</v>
      </c>
      <c r="E366" s="160"/>
      <c r="F366" s="160"/>
      <c r="G366" s="161" t="s">
        <v>42</v>
      </c>
      <c r="H366" s="162">
        <f>H200</f>
        <v>0.25980246641632088</v>
      </c>
      <c r="K366" s="102"/>
      <c r="L366" s="102"/>
    </row>
    <row r="367" spans="2:19" s="100" customFormat="1" outlineLevel="2" x14ac:dyDescent="0.2">
      <c r="B367" s="102"/>
      <c r="D367" s="160" t="s">
        <v>404</v>
      </c>
      <c r="E367" s="160"/>
      <c r="F367" s="160"/>
      <c r="G367" s="161" t="s">
        <v>3</v>
      </c>
      <c r="H367" s="162">
        <f>H33</f>
        <v>5</v>
      </c>
      <c r="K367" s="102"/>
      <c r="L367" s="102"/>
    </row>
    <row r="368" spans="2:19" s="100" customFormat="1" outlineLevel="2" x14ac:dyDescent="0.2">
      <c r="B368" s="102"/>
      <c r="D368" s="160" t="s">
        <v>405</v>
      </c>
      <c r="E368" s="160"/>
      <c r="F368" s="160"/>
      <c r="G368" s="161" t="s">
        <v>42</v>
      </c>
      <c r="H368" s="162">
        <f>H218</f>
        <v>0.25753854765364625</v>
      </c>
      <c r="K368" s="102"/>
      <c r="L368" s="102"/>
    </row>
    <row r="369" spans="2:12" s="100" customFormat="1" outlineLevel="2" x14ac:dyDescent="0.2">
      <c r="B369" s="102"/>
      <c r="D369" s="160" t="s">
        <v>660</v>
      </c>
      <c r="E369" s="160"/>
      <c r="F369" s="160"/>
      <c r="G369" s="161" t="s">
        <v>10</v>
      </c>
      <c r="H369" s="163">
        <f>H84</f>
        <v>0.85763893116752199</v>
      </c>
      <c r="K369" s="102"/>
      <c r="L369" s="102"/>
    </row>
    <row r="370" spans="2:12" s="100" customFormat="1" outlineLevel="2" x14ac:dyDescent="0.2">
      <c r="B370" s="102"/>
      <c r="D370" s="160" t="s">
        <v>56</v>
      </c>
      <c r="E370" s="160"/>
      <c r="F370" s="160"/>
      <c r="G370" s="161"/>
      <c r="H370" s="163">
        <f>H113</f>
        <v>0.51991374979353955</v>
      </c>
      <c r="K370" s="102"/>
      <c r="L370" s="102"/>
    </row>
    <row r="371" spans="2:12" s="100" customFormat="1" outlineLevel="2" x14ac:dyDescent="0.2">
      <c r="B371" s="102"/>
      <c r="D371" s="160" t="s">
        <v>661</v>
      </c>
      <c r="E371" s="160"/>
      <c r="F371" s="160"/>
      <c r="G371" s="161" t="s">
        <v>3</v>
      </c>
      <c r="H371" s="164">
        <f>H112</f>
        <v>101.39999999999999</v>
      </c>
      <c r="K371" s="102"/>
      <c r="L371" s="102"/>
    </row>
    <row r="372" spans="2:12" s="100" customFormat="1" outlineLevel="2" x14ac:dyDescent="0.2">
      <c r="B372" s="102"/>
      <c r="D372" s="160" t="s">
        <v>57</v>
      </c>
      <c r="E372" s="160"/>
      <c r="F372" s="160"/>
      <c r="G372" s="161" t="s">
        <v>5</v>
      </c>
      <c r="H372" s="163">
        <f>H245</f>
        <v>0.27012542970626163</v>
      </c>
      <c r="K372" s="102"/>
      <c r="L372" s="102"/>
    </row>
    <row r="373" spans="2:12" s="100" customFormat="1" outlineLevel="2" x14ac:dyDescent="0.2">
      <c r="B373" s="102"/>
      <c r="D373" s="160" t="s">
        <v>47</v>
      </c>
      <c r="E373" s="160"/>
      <c r="F373" s="160"/>
      <c r="G373" s="161" t="s">
        <v>5</v>
      </c>
      <c r="H373" s="163">
        <f>H263</f>
        <v>1.0925764236358921</v>
      </c>
      <c r="K373" s="102"/>
      <c r="L373" s="102"/>
    </row>
    <row r="374" spans="2:12" s="100" customFormat="1" outlineLevel="2" x14ac:dyDescent="0.2">
      <c r="B374" s="102"/>
      <c r="D374" s="160" t="s">
        <v>58</v>
      </c>
      <c r="E374" s="160"/>
      <c r="F374" s="160"/>
      <c r="G374" s="161" t="s">
        <v>5</v>
      </c>
      <c r="H374" s="163">
        <f>H274</f>
        <v>4.525946214492258</v>
      </c>
      <c r="K374" s="102"/>
      <c r="L374" s="102"/>
    </row>
    <row r="375" spans="2:12" s="100" customFormat="1" outlineLevel="2" x14ac:dyDescent="0.2">
      <c r="B375" s="102"/>
      <c r="D375" s="160" t="s">
        <v>48</v>
      </c>
      <c r="E375" s="160"/>
      <c r="F375" s="160"/>
      <c r="G375" s="161" t="s">
        <v>68</v>
      </c>
      <c r="H375" s="166">
        <f>H275</f>
        <v>0.78974461009081298</v>
      </c>
      <c r="K375" s="102"/>
      <c r="L375" s="102"/>
    </row>
    <row r="376" spans="2:12" s="100" customFormat="1" outlineLevel="2" x14ac:dyDescent="0.2">
      <c r="B376" s="102"/>
      <c r="D376" s="84"/>
      <c r="E376" s="84"/>
      <c r="F376" s="84"/>
      <c r="G376" s="84"/>
      <c r="H376" s="84"/>
      <c r="K376" s="102"/>
      <c r="L376" s="102"/>
    </row>
    <row r="377" spans="2:12" s="100" customFormat="1" outlineLevel="1" x14ac:dyDescent="0.2">
      <c r="B377" s="102"/>
      <c r="C377" s="101" t="s">
        <v>59</v>
      </c>
      <c r="E377" s="84"/>
      <c r="F377" s="84"/>
      <c r="G377" s="84"/>
      <c r="H377" s="84"/>
      <c r="K377" s="102"/>
      <c r="L377" s="102"/>
    </row>
    <row r="378" spans="2:12" s="100" customFormat="1" outlineLevel="2" x14ac:dyDescent="0.2">
      <c r="B378" s="102"/>
      <c r="D378" s="160" t="s">
        <v>60</v>
      </c>
      <c r="E378" s="160"/>
      <c r="F378" s="160"/>
      <c r="G378" s="161"/>
      <c r="H378" s="161" t="str">
        <f>H90</f>
        <v>EE20/10/6</v>
      </c>
      <c r="K378" s="102"/>
      <c r="L378" s="102"/>
    </row>
    <row r="379" spans="2:12" s="100" customFormat="1" outlineLevel="2" x14ac:dyDescent="0.2">
      <c r="B379" s="102"/>
      <c r="D379" s="160" t="s">
        <v>72</v>
      </c>
      <c r="E379" s="160"/>
      <c r="F379" s="160"/>
      <c r="G379" s="161"/>
      <c r="H379" s="161" t="str">
        <f>H91</f>
        <v>TP4A(TDG)</v>
      </c>
      <c r="K379" s="102"/>
      <c r="L379" s="102"/>
    </row>
    <row r="380" spans="2:12" s="100" customFormat="1" ht="14.25" outlineLevel="2" x14ac:dyDescent="0.2">
      <c r="B380" s="102"/>
      <c r="D380" s="160" t="s">
        <v>61</v>
      </c>
      <c r="E380" s="160"/>
      <c r="F380" s="160"/>
      <c r="G380" s="161" t="s">
        <v>154</v>
      </c>
      <c r="H380" s="161">
        <f>H93</f>
        <v>32</v>
      </c>
      <c r="K380" s="102"/>
      <c r="L380" s="102"/>
    </row>
    <row r="381" spans="2:12" s="100" customFormat="1" outlineLevel="2" x14ac:dyDescent="0.2">
      <c r="B381" s="102"/>
      <c r="D381" s="160" t="s">
        <v>155</v>
      </c>
      <c r="E381" s="160"/>
      <c r="F381" s="160"/>
      <c r="G381" s="161" t="s">
        <v>62</v>
      </c>
      <c r="H381" s="164">
        <f>H115*1000</f>
        <v>191.36026192296958</v>
      </c>
      <c r="K381" s="102"/>
      <c r="L381" s="102"/>
    </row>
    <row r="382" spans="2:12" s="100" customFormat="1" outlineLevel="2" x14ac:dyDescent="0.2">
      <c r="B382" s="102"/>
      <c r="D382" s="160" t="s">
        <v>63</v>
      </c>
      <c r="E382" s="160"/>
      <c r="F382" s="160"/>
      <c r="G382" s="161" t="s">
        <v>41</v>
      </c>
      <c r="H382" s="164">
        <f>H81*1000000</f>
        <v>556.91876429806803</v>
      </c>
      <c r="K382" s="102"/>
      <c r="L382" s="102"/>
    </row>
    <row r="383" spans="2:12" s="100" customFormat="1" outlineLevel="2" x14ac:dyDescent="0.2">
      <c r="B383" s="102"/>
      <c r="D383" s="160" t="s">
        <v>471</v>
      </c>
      <c r="E383" s="160"/>
      <c r="F383" s="160"/>
      <c r="G383" s="161" t="s">
        <v>19</v>
      </c>
      <c r="H383" s="164">
        <f>H119</f>
        <v>0</v>
      </c>
      <c r="K383" s="102"/>
      <c r="L383" s="102"/>
    </row>
    <row r="384" spans="2:12" s="100" customFormat="1" outlineLevel="2" x14ac:dyDescent="0.2">
      <c r="B384" s="102"/>
      <c r="D384" s="160" t="s">
        <v>64</v>
      </c>
      <c r="E384" s="160"/>
      <c r="F384" s="160"/>
      <c r="G384" s="161" t="s">
        <v>28</v>
      </c>
      <c r="H384" s="164">
        <f>H100</f>
        <v>78</v>
      </c>
      <c r="K384" s="102"/>
      <c r="L384" s="102"/>
    </row>
    <row r="385" spans="2:12" s="100" customFormat="1" outlineLevel="2" x14ac:dyDescent="0.2">
      <c r="B385" s="102"/>
      <c r="D385" s="160" t="s">
        <v>65</v>
      </c>
      <c r="E385" s="160"/>
      <c r="F385" s="160"/>
      <c r="G385" s="161" t="s">
        <v>34</v>
      </c>
      <c r="H385" s="164">
        <f>H131</f>
        <v>30</v>
      </c>
      <c r="K385" s="102"/>
      <c r="L385" s="102"/>
    </row>
    <row r="386" spans="2:12" s="100" customFormat="1" outlineLevel="2" x14ac:dyDescent="0.2">
      <c r="B386" s="102"/>
      <c r="D386" s="160" t="s">
        <v>470</v>
      </c>
      <c r="E386" s="160"/>
      <c r="F386" s="160"/>
      <c r="G386" s="161"/>
      <c r="H386" s="164">
        <f>H132</f>
        <v>1</v>
      </c>
      <c r="K386" s="102"/>
      <c r="L386" s="102"/>
    </row>
    <row r="387" spans="2:12" s="100" customFormat="1" outlineLevel="2" x14ac:dyDescent="0.2">
      <c r="B387" s="102"/>
      <c r="D387" s="160" t="s">
        <v>66</v>
      </c>
      <c r="E387" s="160"/>
      <c r="F387" s="160"/>
      <c r="G387" s="161" t="s">
        <v>156</v>
      </c>
      <c r="H387" s="164">
        <f>H138</f>
        <v>2</v>
      </c>
      <c r="K387" s="102"/>
      <c r="L387" s="102"/>
    </row>
    <row r="388" spans="2:12" s="100" customFormat="1" ht="15.75" outlineLevel="2" x14ac:dyDescent="0.3">
      <c r="B388" s="102"/>
      <c r="D388" s="160" t="s">
        <v>474</v>
      </c>
      <c r="E388" s="160"/>
      <c r="F388" s="160"/>
      <c r="G388" s="165" t="s">
        <v>28</v>
      </c>
      <c r="H388" s="164">
        <f>H102</f>
        <v>12</v>
      </c>
      <c r="K388" s="102"/>
      <c r="L388" s="102"/>
    </row>
    <row r="389" spans="2:12" s="100" customFormat="1" outlineLevel="2" x14ac:dyDescent="0.2">
      <c r="B389" s="102"/>
      <c r="D389" s="160" t="s">
        <v>475</v>
      </c>
      <c r="E389" s="160"/>
      <c r="F389" s="160"/>
      <c r="G389" s="161" t="s">
        <v>34</v>
      </c>
      <c r="H389" s="164">
        <f>H143</f>
        <v>26</v>
      </c>
      <c r="K389" s="102"/>
      <c r="L389" s="102"/>
    </row>
    <row r="390" spans="2:12" s="100" customFormat="1" outlineLevel="2" x14ac:dyDescent="0.2">
      <c r="B390" s="102"/>
      <c r="D390" s="160" t="s">
        <v>476</v>
      </c>
      <c r="E390" s="160"/>
      <c r="F390" s="160"/>
      <c r="G390" s="161"/>
      <c r="H390" s="164">
        <f>H144</f>
        <v>2</v>
      </c>
      <c r="K390" s="102"/>
      <c r="L390" s="102"/>
    </row>
    <row r="391" spans="2:12" s="100" customFormat="1" outlineLevel="2" x14ac:dyDescent="0.2">
      <c r="B391" s="102"/>
      <c r="D391" s="160" t="s">
        <v>480</v>
      </c>
      <c r="E391" s="160"/>
      <c r="F391" s="160"/>
      <c r="G391" s="161" t="s">
        <v>156</v>
      </c>
      <c r="H391" s="164">
        <f>H152</f>
        <v>1</v>
      </c>
      <c r="K391" s="102"/>
      <c r="L391" s="102"/>
    </row>
    <row r="392" spans="2:12" s="100" customFormat="1" ht="15.75" outlineLevel="2" x14ac:dyDescent="0.3">
      <c r="B392" s="102"/>
      <c r="D392" s="160" t="s">
        <v>477</v>
      </c>
      <c r="E392" s="160"/>
      <c r="F392" s="160"/>
      <c r="G392" s="165" t="s">
        <v>28</v>
      </c>
      <c r="H392" s="164">
        <f>H104</f>
        <v>4</v>
      </c>
      <c r="K392" s="102"/>
      <c r="L392" s="102"/>
    </row>
    <row r="393" spans="2:12" s="100" customFormat="1" outlineLevel="2" x14ac:dyDescent="0.2">
      <c r="B393" s="102"/>
      <c r="D393" s="160" t="s">
        <v>478</v>
      </c>
      <c r="E393" s="160"/>
      <c r="F393" s="160"/>
      <c r="G393" s="161" t="s">
        <v>34</v>
      </c>
      <c r="H393" s="164">
        <f>H157</f>
        <v>26</v>
      </c>
      <c r="K393" s="102"/>
      <c r="L393" s="102"/>
    </row>
    <row r="394" spans="2:12" s="100" customFormat="1" outlineLevel="2" x14ac:dyDescent="0.2">
      <c r="B394" s="102"/>
      <c r="D394" s="160" t="s">
        <v>479</v>
      </c>
      <c r="E394" s="160"/>
      <c r="F394" s="160"/>
      <c r="G394" s="161"/>
      <c r="H394" s="164">
        <f>H158</f>
        <v>1</v>
      </c>
      <c r="K394" s="102"/>
      <c r="L394" s="102"/>
    </row>
    <row r="395" spans="2:12" s="100" customFormat="1" outlineLevel="2" x14ac:dyDescent="0.2">
      <c r="B395" s="102"/>
      <c r="D395" s="160" t="s">
        <v>481</v>
      </c>
      <c r="E395" s="160"/>
      <c r="F395" s="160"/>
      <c r="G395" s="161" t="s">
        <v>156</v>
      </c>
      <c r="H395" s="164">
        <f>H166</f>
        <v>1</v>
      </c>
      <c r="K395" s="102"/>
      <c r="L395" s="102"/>
    </row>
    <row r="396" spans="2:12" s="100" customFormat="1" outlineLevel="2" x14ac:dyDescent="0.2">
      <c r="B396" s="102"/>
      <c r="D396" s="160" t="s">
        <v>73</v>
      </c>
      <c r="E396" s="160"/>
      <c r="F396" s="160"/>
      <c r="G396" s="165" t="s">
        <v>28</v>
      </c>
      <c r="H396" s="164">
        <f>H106</f>
        <v>11</v>
      </c>
      <c r="K396" s="102"/>
      <c r="L396" s="102"/>
    </row>
    <row r="397" spans="2:12" s="100" customFormat="1" outlineLevel="2" x14ac:dyDescent="0.2">
      <c r="B397" s="102"/>
      <c r="D397" s="160" t="s">
        <v>38</v>
      </c>
      <c r="E397" s="160"/>
      <c r="F397" s="160"/>
      <c r="G397" s="161" t="s">
        <v>41</v>
      </c>
      <c r="H397" s="162">
        <f>H172*1000000</f>
        <v>13.922969107451699</v>
      </c>
      <c r="K397" s="102"/>
      <c r="L397" s="102"/>
    </row>
    <row r="398" spans="2:12" s="100" customFormat="1" outlineLevel="2" x14ac:dyDescent="0.2">
      <c r="B398" s="102"/>
      <c r="D398" s="84"/>
      <c r="E398" s="84"/>
      <c r="F398" s="84"/>
      <c r="G398" s="84"/>
      <c r="H398" s="84"/>
      <c r="K398" s="102"/>
      <c r="L398" s="102"/>
    </row>
    <row r="399" spans="2:12" s="100" customFormat="1" outlineLevel="1" x14ac:dyDescent="0.2">
      <c r="B399" s="102"/>
      <c r="C399" s="101" t="s">
        <v>67</v>
      </c>
      <c r="E399" s="84"/>
      <c r="F399" s="84"/>
      <c r="G399" s="84"/>
      <c r="H399" s="84"/>
      <c r="K399" s="102"/>
      <c r="L399" s="102"/>
    </row>
    <row r="400" spans="2:12" s="100" customFormat="1" outlineLevel="2" x14ac:dyDescent="0.2">
      <c r="B400" s="102"/>
      <c r="D400" s="160" t="s">
        <v>662</v>
      </c>
      <c r="E400" s="160"/>
      <c r="F400" s="161"/>
      <c r="G400" s="161" t="s">
        <v>9</v>
      </c>
      <c r="H400" s="162">
        <f>H69</f>
        <v>47</v>
      </c>
      <c r="K400" s="102"/>
      <c r="L400" s="102"/>
    </row>
    <row r="401" spans="2:12" s="100" customFormat="1" outlineLevel="2" x14ac:dyDescent="0.2">
      <c r="B401" s="102"/>
      <c r="D401" s="160" t="s">
        <v>663</v>
      </c>
      <c r="E401" s="160"/>
      <c r="F401" s="161"/>
      <c r="G401" s="161" t="s">
        <v>9</v>
      </c>
      <c r="H401" s="162">
        <f>H191</f>
        <v>680</v>
      </c>
      <c r="K401" s="102"/>
      <c r="L401" s="102"/>
    </row>
    <row r="402" spans="2:12" s="100" customFormat="1" outlineLevel="2" x14ac:dyDescent="0.2">
      <c r="B402" s="102"/>
      <c r="D402" s="160" t="s">
        <v>482</v>
      </c>
      <c r="E402" s="160"/>
      <c r="F402" s="161"/>
      <c r="G402" s="161"/>
      <c r="H402" s="162">
        <f>H193</f>
        <v>1</v>
      </c>
      <c r="K402" s="102"/>
      <c r="L402" s="102"/>
    </row>
    <row r="403" spans="2:12" s="100" customFormat="1" outlineLevel="2" x14ac:dyDescent="0.2">
      <c r="B403" s="102"/>
      <c r="D403" s="160" t="s">
        <v>664</v>
      </c>
      <c r="E403" s="160"/>
      <c r="F403" s="161"/>
      <c r="G403" s="161" t="s">
        <v>41</v>
      </c>
      <c r="H403" s="162">
        <f>H196</f>
        <v>2.2000000000000002</v>
      </c>
      <c r="K403" s="102"/>
      <c r="L403" s="102"/>
    </row>
    <row r="404" spans="2:12" s="100" customFormat="1" outlineLevel="2" x14ac:dyDescent="0.2">
      <c r="B404" s="102"/>
      <c r="D404" s="160" t="s">
        <v>665</v>
      </c>
      <c r="E404" s="160"/>
      <c r="F404" s="161"/>
      <c r="G404" s="161" t="s">
        <v>9</v>
      </c>
      <c r="H404" s="162">
        <f>H198</f>
        <v>680</v>
      </c>
      <c r="K404" s="102"/>
      <c r="L404" s="102"/>
    </row>
    <row r="405" spans="2:12" s="100" customFormat="1" outlineLevel="2" x14ac:dyDescent="0.2">
      <c r="B405" s="102"/>
      <c r="D405" s="160" t="s">
        <v>666</v>
      </c>
      <c r="E405" s="160"/>
      <c r="F405" s="161"/>
      <c r="G405" s="161" t="s">
        <v>9</v>
      </c>
      <c r="H405" s="162">
        <f>H209</f>
        <v>680</v>
      </c>
      <c r="K405" s="102"/>
      <c r="L405" s="102"/>
    </row>
    <row r="406" spans="2:12" s="100" customFormat="1" outlineLevel="2" x14ac:dyDescent="0.2">
      <c r="B406" s="102"/>
      <c r="D406" s="160" t="s">
        <v>483</v>
      </c>
      <c r="E406" s="160"/>
      <c r="F406" s="161"/>
      <c r="G406" s="161"/>
      <c r="H406" s="162">
        <f>H211</f>
        <v>1</v>
      </c>
      <c r="K406" s="102"/>
      <c r="L406" s="102"/>
    </row>
    <row r="407" spans="2:12" s="100" customFormat="1" outlineLevel="2" x14ac:dyDescent="0.2">
      <c r="B407" s="102"/>
      <c r="D407" s="160" t="s">
        <v>667</v>
      </c>
      <c r="E407" s="160"/>
      <c r="F407" s="161"/>
      <c r="G407" s="161" t="s">
        <v>41</v>
      </c>
      <c r="H407" s="162">
        <f>H214</f>
        <v>2.2000000000000002</v>
      </c>
      <c r="K407" s="102"/>
      <c r="L407" s="102"/>
    </row>
    <row r="408" spans="2:12" s="100" customFormat="1" outlineLevel="2" x14ac:dyDescent="0.2">
      <c r="B408" s="102"/>
      <c r="D408" s="160" t="s">
        <v>668</v>
      </c>
      <c r="E408" s="160"/>
      <c r="F408" s="161"/>
      <c r="G408" s="161" t="s">
        <v>9</v>
      </c>
      <c r="H408" s="162">
        <f>H216</f>
        <v>330</v>
      </c>
      <c r="K408" s="102"/>
      <c r="L408" s="102"/>
    </row>
    <row r="409" spans="2:12" s="100" customFormat="1" outlineLevel="2" x14ac:dyDescent="0.2">
      <c r="B409" s="102"/>
      <c r="D409" s="160" t="s">
        <v>669</v>
      </c>
      <c r="E409" s="160"/>
      <c r="F409" s="161"/>
      <c r="G409" s="161" t="s">
        <v>9</v>
      </c>
      <c r="H409" s="162">
        <f>H228</f>
        <v>22</v>
      </c>
      <c r="K409" s="102"/>
      <c r="L409" s="102"/>
    </row>
    <row r="410" spans="2:12" s="100" customFormat="1" outlineLevel="2" x14ac:dyDescent="0.2">
      <c r="B410" s="102"/>
      <c r="D410" s="160" t="s">
        <v>670</v>
      </c>
      <c r="E410" s="160"/>
      <c r="F410" s="161"/>
      <c r="G410" s="161" t="s">
        <v>558</v>
      </c>
      <c r="H410" s="163">
        <f>H181</f>
        <v>0.93279347628371201</v>
      </c>
      <c r="K410" s="102"/>
      <c r="L410" s="102"/>
    </row>
    <row r="411" spans="2:12" s="100" customFormat="1" outlineLevel="2" x14ac:dyDescent="0.2">
      <c r="B411" s="102"/>
      <c r="D411" s="160" t="s">
        <v>671</v>
      </c>
      <c r="E411" s="160"/>
      <c r="F411" s="161"/>
      <c r="G411" s="161" t="s">
        <v>557</v>
      </c>
      <c r="H411" s="162">
        <f>H177</f>
        <v>68</v>
      </c>
      <c r="K411" s="102"/>
      <c r="L411" s="102"/>
    </row>
    <row r="412" spans="2:12" s="100" customFormat="1" outlineLevel="2" x14ac:dyDescent="0.2">
      <c r="B412" s="102"/>
      <c r="D412" s="160" t="s">
        <v>672</v>
      </c>
      <c r="E412" s="160"/>
      <c r="F412" s="161"/>
      <c r="G412" s="161" t="s">
        <v>39</v>
      </c>
      <c r="H412" s="164">
        <f>H175</f>
        <v>1</v>
      </c>
      <c r="K412" s="102"/>
      <c r="L412" s="102"/>
    </row>
    <row r="413" spans="2:12" s="102" customFormat="1" outlineLevel="2" x14ac:dyDescent="0.2">
      <c r="D413" s="103"/>
      <c r="E413" s="103"/>
      <c r="F413" s="94"/>
      <c r="G413" s="94"/>
      <c r="H413" s="104"/>
    </row>
    <row r="414" spans="2:12" s="100" customFormat="1" outlineLevel="1" x14ac:dyDescent="0.2">
      <c r="B414" s="102"/>
      <c r="C414" s="101" t="s">
        <v>715</v>
      </c>
      <c r="E414" s="84"/>
      <c r="F414" s="84"/>
      <c r="G414" s="84"/>
      <c r="H414" s="84"/>
      <c r="K414" s="102"/>
      <c r="L414" s="102"/>
    </row>
    <row r="415" spans="2:12" s="100" customFormat="1" outlineLevel="2" x14ac:dyDescent="0.2">
      <c r="B415" s="102"/>
      <c r="D415" s="160" t="s">
        <v>153</v>
      </c>
      <c r="E415" s="160"/>
      <c r="F415" s="161" t="s">
        <v>105</v>
      </c>
      <c r="G415" s="161" t="s">
        <v>557</v>
      </c>
      <c r="H415" s="162">
        <f>H301</f>
        <v>10</v>
      </c>
      <c r="K415" s="102"/>
      <c r="L415" s="102"/>
    </row>
    <row r="416" spans="2:12" s="100" customFormat="1" outlineLevel="2" x14ac:dyDescent="0.2">
      <c r="B416" s="102"/>
      <c r="D416" s="160" t="s">
        <v>520</v>
      </c>
      <c r="E416" s="160"/>
      <c r="F416" s="161" t="s">
        <v>106</v>
      </c>
      <c r="G416" s="161" t="s">
        <v>557</v>
      </c>
      <c r="H416" s="162">
        <f>H303</f>
        <v>56</v>
      </c>
      <c r="K416" s="102"/>
      <c r="L416" s="102"/>
    </row>
    <row r="417" spans="2:12" s="100" customFormat="1" outlineLevel="2" x14ac:dyDescent="0.2">
      <c r="B417" s="102"/>
      <c r="D417" s="160" t="s">
        <v>521</v>
      </c>
      <c r="E417" s="160"/>
      <c r="F417" s="161" t="s">
        <v>211</v>
      </c>
      <c r="G417" s="161" t="s">
        <v>557</v>
      </c>
      <c r="H417" s="162">
        <f>H305</f>
        <v>93</v>
      </c>
      <c r="K417" s="102"/>
      <c r="L417" s="102"/>
    </row>
    <row r="418" spans="2:12" s="100" customFormat="1" outlineLevel="2" x14ac:dyDescent="0.2">
      <c r="B418" s="102"/>
      <c r="D418" s="160" t="s">
        <v>484</v>
      </c>
      <c r="E418" s="160"/>
      <c r="F418" s="161" t="s">
        <v>107</v>
      </c>
      <c r="G418" s="161" t="s">
        <v>557</v>
      </c>
      <c r="H418" s="163">
        <f>H313</f>
        <v>0.82</v>
      </c>
      <c r="K418" s="102"/>
      <c r="L418" s="102"/>
    </row>
    <row r="419" spans="2:12" s="100" customFormat="1" outlineLevel="2" x14ac:dyDescent="0.2">
      <c r="B419" s="102"/>
      <c r="D419" s="160" t="s">
        <v>485</v>
      </c>
      <c r="E419" s="160"/>
      <c r="F419" s="161" t="s">
        <v>108</v>
      </c>
      <c r="G419" s="161" t="s">
        <v>557</v>
      </c>
      <c r="H419" s="162">
        <f>H318</f>
        <v>1.2</v>
      </c>
      <c r="K419" s="102"/>
      <c r="L419" s="102"/>
    </row>
    <row r="420" spans="2:12" s="100" customFormat="1" outlineLevel="2" x14ac:dyDescent="0.2">
      <c r="B420" s="102"/>
      <c r="D420" s="160" t="s">
        <v>560</v>
      </c>
      <c r="E420" s="160"/>
      <c r="F420" s="161" t="s">
        <v>109</v>
      </c>
      <c r="G420" s="161" t="s">
        <v>557</v>
      </c>
      <c r="H420" s="162">
        <f>H338</f>
        <v>16</v>
      </c>
      <c r="K420" s="102"/>
      <c r="L420" s="102"/>
    </row>
    <row r="421" spans="2:12" s="100" customFormat="1" outlineLevel="2" x14ac:dyDescent="0.2">
      <c r="B421" s="102"/>
      <c r="D421" s="160" t="s">
        <v>561</v>
      </c>
      <c r="E421" s="160"/>
      <c r="F421" s="161" t="s">
        <v>110</v>
      </c>
      <c r="G421" s="161" t="s">
        <v>39</v>
      </c>
      <c r="H421" s="163">
        <f>H340</f>
        <v>3.3</v>
      </c>
      <c r="K421" s="102"/>
      <c r="L421" s="102"/>
    </row>
    <row r="422" spans="2:12" s="100" customFormat="1" outlineLevel="2" x14ac:dyDescent="0.2">
      <c r="B422" s="102"/>
      <c r="D422" s="160" t="s">
        <v>561</v>
      </c>
      <c r="E422" s="160"/>
      <c r="F422" s="161" t="s">
        <v>111</v>
      </c>
      <c r="G422" s="161" t="s">
        <v>39</v>
      </c>
      <c r="H422" s="162">
        <f>H342</f>
        <v>820</v>
      </c>
      <c r="K422" s="102"/>
      <c r="L422" s="102"/>
    </row>
    <row r="423" spans="2:12" s="100" customFormat="1" outlineLevel="2" x14ac:dyDescent="0.2">
      <c r="B423" s="102"/>
      <c r="F423" s="84"/>
    </row>
    <row r="424" spans="2:12" s="100" customFormat="1" outlineLevel="1" x14ac:dyDescent="0.2">
      <c r="B424" s="102"/>
      <c r="C424" s="101" t="s">
        <v>486</v>
      </c>
      <c r="E424" s="84"/>
      <c r="F424" s="84"/>
      <c r="G424" s="84"/>
      <c r="H424" s="84"/>
      <c r="K424" s="102"/>
      <c r="L424" s="102"/>
    </row>
    <row r="425" spans="2:12" s="100" customFormat="1" outlineLevel="2" x14ac:dyDescent="0.2">
      <c r="B425" s="102"/>
      <c r="D425" s="160" t="s">
        <v>673</v>
      </c>
      <c r="E425" s="160"/>
      <c r="F425" s="161" t="s">
        <v>397</v>
      </c>
      <c r="G425" s="161" t="s">
        <v>557</v>
      </c>
      <c r="H425" s="162">
        <f>H351</f>
        <v>39</v>
      </c>
      <c r="K425" s="102"/>
      <c r="L425" s="102"/>
    </row>
    <row r="426" spans="2:12" s="100" customFormat="1" outlineLevel="2" x14ac:dyDescent="0.2">
      <c r="B426" s="102"/>
      <c r="D426" s="160" t="s">
        <v>674</v>
      </c>
      <c r="E426" s="160"/>
      <c r="F426" s="161" t="s">
        <v>398</v>
      </c>
      <c r="G426" s="161" t="s">
        <v>557</v>
      </c>
      <c r="H426" s="162">
        <f>H353</f>
        <v>910</v>
      </c>
      <c r="K426" s="102"/>
      <c r="L426" s="102"/>
    </row>
    <row r="427" spans="2:12" s="100" customFormat="1" outlineLevel="2" x14ac:dyDescent="0.2">
      <c r="B427" s="102"/>
      <c r="D427" s="160" t="s">
        <v>675</v>
      </c>
      <c r="E427" s="160"/>
      <c r="F427" s="161" t="s">
        <v>399</v>
      </c>
      <c r="G427" s="161" t="s">
        <v>557</v>
      </c>
      <c r="H427" s="162">
        <f>H355</f>
        <v>100</v>
      </c>
      <c r="K427" s="102"/>
      <c r="L427" s="102"/>
    </row>
  </sheetData>
  <sheetProtection selectLockedCells="1"/>
  <mergeCells count="14">
    <mergeCell ref="B1:H1"/>
    <mergeCell ref="C294:H294"/>
    <mergeCell ref="C346:H346"/>
    <mergeCell ref="C75:H75"/>
    <mergeCell ref="C74:H74"/>
    <mergeCell ref="B3:C3"/>
    <mergeCell ref="B4:C4"/>
    <mergeCell ref="B5:C5"/>
    <mergeCell ref="B6:C6"/>
    <mergeCell ref="B7:C7"/>
    <mergeCell ref="D3:E3"/>
    <mergeCell ref="D4:E4"/>
    <mergeCell ref="D6:E6"/>
    <mergeCell ref="D7:E7"/>
  </mergeCells>
  <printOptions headings="1" gridLines="1"/>
  <pageMargins left="0.78740157480314965" right="0.78740157480314965" top="0.98425196850393704" bottom="0.98425196850393704" header="0.51181102362204722" footer="0.51181102362204722"/>
  <pageSetup paperSize="9" scale="49" orientation="portrait" horizontalDpi="300" verticalDpi="300" r:id="rId1"/>
  <headerFooter alignWithMargins="0">
    <oddHeader>&amp;C&amp;F&amp;RSeite &amp;P</oddHeader>
    <oddFooter>&amp;RHL PS TM1
&amp;D</oddFooter>
  </headerFooter>
  <rowBreaks count="2" manualBreakCount="2">
    <brk id="87" min="1" max="6" man="1"/>
    <brk id="335" min="1" max="6" man="1"/>
  </rowBreaks>
  <colBreaks count="2" manualBreakCount="2">
    <brk id="8" max="408" man="1"/>
    <brk id="20" max="408" man="1"/>
  </colBreaks>
  <ignoredErrors>
    <ignoredError sqref="H323 H392 H422" 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msc!$B$3:$B$10</xm:f>
          </x14:formula1>
          <xm:sqref>H53</xm:sqref>
        </x14:dataValidation>
        <x14:dataValidation type="list" allowBlank="1" showInputMessage="1" showErrorMessage="1">
          <x14:formula1>
            <xm:f>msc!H3:H6</xm:f>
          </x14:formula1>
          <xm:sqref>H331</xm:sqref>
        </x14:dataValidation>
        <x14:dataValidation type="list" allowBlank="1" showInputMessage="1" showErrorMessage="1">
          <x14:formula1>
            <xm:f>msc!J3:J5</xm:f>
          </x14:formula1>
          <xm:sqref>H223</xm:sqref>
        </x14:dataValidation>
        <x14:dataValidation type="list" allowBlank="1" showInputMessage="1" showErrorMessage="1">
          <x14:formula1>
            <xm:f>msc!F3:F8</xm:f>
          </x14:formula1>
          <xm:sqref>H180</xm:sqref>
        </x14:dataValidation>
        <x14:dataValidation type="list" allowBlank="1" showInputMessage="1" showErrorMessage="1">
          <x14:formula1>
            <xm:f>msc!D3:D10</xm:f>
          </x14:formula1>
          <xm:sqref>H54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60"/>
  <sheetViews>
    <sheetView workbookViewId="0">
      <selection activeCell="B1" sqref="B1:H1"/>
    </sheetView>
  </sheetViews>
  <sheetFormatPr defaultColWidth="9.140625" defaultRowHeight="12.75" x14ac:dyDescent="0.2"/>
  <cols>
    <col min="1" max="1" width="4.85546875" style="106" customWidth="1"/>
    <col min="2" max="2" width="13.5703125" style="106" customWidth="1"/>
    <col min="3" max="3" width="21" style="106" customWidth="1"/>
    <col min="4" max="4" width="33.42578125" style="106" bestFit="1" customWidth="1"/>
    <col min="5" max="5" width="8" style="106" customWidth="1"/>
    <col min="6" max="6" width="29.28515625" style="106" customWidth="1"/>
    <col min="7" max="7" width="22.85546875" style="106" customWidth="1"/>
    <col min="8" max="8" width="18.85546875" style="106" customWidth="1"/>
    <col min="9" max="16384" width="9.140625" style="106"/>
  </cols>
  <sheetData>
    <row r="1" spans="2:13" s="19" customFormat="1" ht="18" customHeight="1" x14ac:dyDescent="0.2">
      <c r="B1" s="202" t="s">
        <v>851</v>
      </c>
      <c r="C1" s="202"/>
      <c r="D1" s="202"/>
      <c r="E1" s="202"/>
      <c r="F1" s="202"/>
      <c r="G1" s="202"/>
      <c r="H1" s="202"/>
      <c r="I1" s="22"/>
      <c r="J1" s="22"/>
      <c r="K1" s="22"/>
      <c r="L1" s="22"/>
      <c r="M1" s="22"/>
    </row>
    <row r="2" spans="2:13" s="19" customFormat="1" x14ac:dyDescent="0.2">
      <c r="F2" s="23"/>
      <c r="G2" s="22"/>
      <c r="I2" s="22"/>
      <c r="J2" s="22"/>
      <c r="K2" s="22"/>
      <c r="L2" s="22"/>
      <c r="M2" s="22"/>
    </row>
    <row r="3" spans="2:13" s="19" customFormat="1" x14ac:dyDescent="0.2">
      <c r="B3" s="29" t="s">
        <v>631</v>
      </c>
      <c r="C3" s="29"/>
      <c r="D3" s="30"/>
      <c r="E3" s="30"/>
      <c r="F3" s="30"/>
      <c r="G3" s="22"/>
      <c r="I3" s="22"/>
      <c r="J3" s="22"/>
      <c r="K3" s="22"/>
      <c r="L3" s="22"/>
      <c r="M3" s="22"/>
    </row>
    <row r="4" spans="2:13" ht="13.5" thickBot="1" x14ac:dyDescent="0.25"/>
    <row r="5" spans="2:13" ht="402.75" customHeight="1" thickBot="1" x14ac:dyDescent="0.25">
      <c r="B5" s="203"/>
      <c r="C5" s="204"/>
      <c r="D5" s="204"/>
      <c r="E5" s="204"/>
      <c r="F5" s="204"/>
      <c r="G5" s="204"/>
      <c r="H5" s="205"/>
    </row>
    <row r="6" spans="2:13" ht="13.5" thickBot="1" x14ac:dyDescent="0.25"/>
    <row r="7" spans="2:13" ht="13.5" thickBot="1" x14ac:dyDescent="0.25">
      <c r="B7" s="115" t="s">
        <v>130</v>
      </c>
      <c r="C7" s="116" t="s">
        <v>566</v>
      </c>
      <c r="D7" s="116" t="s">
        <v>605</v>
      </c>
      <c r="E7" s="116" t="s">
        <v>1</v>
      </c>
      <c r="F7" s="116" t="s">
        <v>617</v>
      </c>
      <c r="G7" s="116" t="s">
        <v>615</v>
      </c>
      <c r="H7" s="117" t="s">
        <v>606</v>
      </c>
    </row>
    <row r="8" spans="2:13" x14ac:dyDescent="0.2">
      <c r="B8" s="118">
        <v>1</v>
      </c>
      <c r="C8" s="112" t="s">
        <v>93</v>
      </c>
      <c r="D8" s="113"/>
      <c r="E8" s="113"/>
      <c r="F8" s="114" t="s">
        <v>182</v>
      </c>
      <c r="G8" s="127">
        <f>'Dual Output'!H60</f>
        <v>0.4016064257028113</v>
      </c>
      <c r="H8" s="119"/>
    </row>
    <row r="9" spans="2:13" x14ac:dyDescent="0.2">
      <c r="B9" s="118">
        <v>2</v>
      </c>
      <c r="C9" s="107" t="s">
        <v>567</v>
      </c>
      <c r="D9" s="107" t="s">
        <v>568</v>
      </c>
      <c r="E9" s="107"/>
      <c r="F9" s="109"/>
      <c r="G9" s="109"/>
      <c r="H9" s="120"/>
    </row>
    <row r="10" spans="2:13" x14ac:dyDescent="0.2">
      <c r="B10" s="118">
        <v>3</v>
      </c>
      <c r="C10" s="107" t="s">
        <v>92</v>
      </c>
      <c r="D10" s="107"/>
      <c r="E10" s="107"/>
      <c r="F10" s="109" t="s">
        <v>127</v>
      </c>
      <c r="G10" s="128">
        <f>'Dual Output'!H60</f>
        <v>0.4016064257028113</v>
      </c>
      <c r="H10" s="135">
        <f>'Dual Output'!H236</f>
        <v>0.8032128514056226</v>
      </c>
    </row>
    <row r="11" spans="2:13" x14ac:dyDescent="0.2">
      <c r="B11" s="118">
        <v>4</v>
      </c>
      <c r="C11" s="107" t="s">
        <v>569</v>
      </c>
      <c r="D11" s="108">
        <v>0.15</v>
      </c>
      <c r="E11" s="108" t="s">
        <v>616</v>
      </c>
      <c r="F11" s="109" t="s">
        <v>129</v>
      </c>
      <c r="G11" s="110"/>
      <c r="H11" s="120"/>
    </row>
    <row r="12" spans="2:13" x14ac:dyDescent="0.2">
      <c r="B12" s="118">
        <v>5</v>
      </c>
      <c r="C12" s="107" t="s">
        <v>645</v>
      </c>
      <c r="D12" s="108" t="s">
        <v>646</v>
      </c>
      <c r="E12" s="108"/>
      <c r="F12" s="109"/>
      <c r="G12" s="110"/>
      <c r="H12" s="120"/>
    </row>
    <row r="13" spans="2:13" x14ac:dyDescent="0.2">
      <c r="B13" s="118">
        <v>6</v>
      </c>
      <c r="C13" s="107" t="s">
        <v>570</v>
      </c>
      <c r="D13" s="125">
        <f>'Dual Output'!H69</f>
        <v>47</v>
      </c>
      <c r="E13" s="107" t="s">
        <v>616</v>
      </c>
      <c r="F13" s="133">
        <f>'Dual Output'!H61</f>
        <v>466.69047558312138</v>
      </c>
      <c r="G13" s="109"/>
      <c r="H13" s="120"/>
    </row>
    <row r="14" spans="2:13" x14ac:dyDescent="0.2">
      <c r="B14" s="118">
        <v>7</v>
      </c>
      <c r="C14" s="107" t="s">
        <v>571</v>
      </c>
      <c r="D14" s="126">
        <f>'Dual Output'!H175</f>
        <v>1</v>
      </c>
      <c r="E14" s="108" t="s">
        <v>618</v>
      </c>
      <c r="F14" s="109" t="s">
        <v>619</v>
      </c>
      <c r="G14" s="110"/>
      <c r="H14" s="120"/>
    </row>
    <row r="15" spans="2:13" x14ac:dyDescent="0.2">
      <c r="B15" s="118">
        <v>8</v>
      </c>
      <c r="C15" s="107" t="s">
        <v>572</v>
      </c>
      <c r="D15" s="125">
        <f>'Dual Output'!H228</f>
        <v>22</v>
      </c>
      <c r="E15" s="107" t="s">
        <v>616</v>
      </c>
      <c r="F15" s="109" t="s">
        <v>128</v>
      </c>
      <c r="G15" s="109"/>
      <c r="H15" s="120"/>
    </row>
    <row r="16" spans="2:13" x14ac:dyDescent="0.2">
      <c r="B16" s="118">
        <v>9</v>
      </c>
      <c r="C16" s="107" t="s">
        <v>573</v>
      </c>
      <c r="D16" s="107">
        <v>0.1</v>
      </c>
      <c r="E16" s="107" t="s">
        <v>616</v>
      </c>
      <c r="F16" s="109" t="s">
        <v>128</v>
      </c>
      <c r="G16" s="109"/>
      <c r="H16" s="120"/>
    </row>
    <row r="17" spans="2:8" x14ac:dyDescent="0.2">
      <c r="B17" s="118">
        <v>10</v>
      </c>
      <c r="C17" s="107" t="s">
        <v>608</v>
      </c>
      <c r="D17" s="107">
        <v>1000</v>
      </c>
      <c r="E17" s="107" t="s">
        <v>620</v>
      </c>
      <c r="F17" s="109" t="s">
        <v>128</v>
      </c>
      <c r="G17" s="110"/>
      <c r="H17" s="120"/>
    </row>
    <row r="18" spans="2:8" x14ac:dyDescent="0.2">
      <c r="B18" s="118">
        <v>11</v>
      </c>
      <c r="C18" s="107" t="s">
        <v>610</v>
      </c>
      <c r="D18" s="107">
        <v>4700</v>
      </c>
      <c r="E18" s="107" t="s">
        <v>620</v>
      </c>
      <c r="F18" s="109" t="s">
        <v>128</v>
      </c>
      <c r="G18" s="109"/>
      <c r="H18" s="120"/>
    </row>
    <row r="19" spans="2:8" x14ac:dyDescent="0.2">
      <c r="B19" s="118">
        <v>12</v>
      </c>
      <c r="C19" s="107" t="s">
        <v>574</v>
      </c>
      <c r="D19" s="107">
        <v>15</v>
      </c>
      <c r="E19" s="107" t="s">
        <v>620</v>
      </c>
      <c r="F19" s="109" t="s">
        <v>128</v>
      </c>
      <c r="G19" s="110"/>
      <c r="H19" s="120"/>
    </row>
    <row r="20" spans="2:8" x14ac:dyDescent="0.2">
      <c r="B20" s="118">
        <v>13</v>
      </c>
      <c r="C20" s="107" t="s">
        <v>640</v>
      </c>
      <c r="D20" s="107" t="s">
        <v>646</v>
      </c>
      <c r="E20" s="107"/>
      <c r="F20" s="109"/>
      <c r="G20" s="109"/>
      <c r="H20" s="120"/>
    </row>
    <row r="21" spans="2:8" x14ac:dyDescent="0.2">
      <c r="B21" s="118">
        <v>14</v>
      </c>
      <c r="C21" s="107" t="s">
        <v>575</v>
      </c>
      <c r="D21" s="125">
        <f>'Dual Output'!H209</f>
        <v>680</v>
      </c>
      <c r="E21" s="107" t="s">
        <v>616</v>
      </c>
      <c r="F21" s="109" t="s">
        <v>621</v>
      </c>
      <c r="G21" s="109"/>
      <c r="H21" s="120"/>
    </row>
    <row r="22" spans="2:8" x14ac:dyDescent="0.2">
      <c r="B22" s="118">
        <v>15</v>
      </c>
      <c r="C22" s="107" t="s">
        <v>576</v>
      </c>
      <c r="D22" s="131">
        <f>'Dual Output'!H216</f>
        <v>330</v>
      </c>
      <c r="E22" s="108" t="s">
        <v>616</v>
      </c>
      <c r="F22" s="110" t="s">
        <v>621</v>
      </c>
      <c r="G22" s="110"/>
      <c r="H22" s="120"/>
    </row>
    <row r="23" spans="2:8" x14ac:dyDescent="0.2">
      <c r="B23" s="118">
        <v>16</v>
      </c>
      <c r="C23" s="107" t="s">
        <v>609</v>
      </c>
      <c r="D23" s="107">
        <v>4700</v>
      </c>
      <c r="E23" s="107" t="s">
        <v>620</v>
      </c>
      <c r="F23" s="109" t="s">
        <v>128</v>
      </c>
      <c r="G23" s="109"/>
      <c r="H23" s="120"/>
    </row>
    <row r="24" spans="2:8" x14ac:dyDescent="0.2">
      <c r="B24" s="118">
        <v>17</v>
      </c>
      <c r="C24" s="107" t="s">
        <v>641</v>
      </c>
      <c r="D24" s="129" t="s">
        <v>646</v>
      </c>
      <c r="E24" s="108"/>
      <c r="F24" s="110"/>
      <c r="G24" s="110"/>
      <c r="H24" s="120"/>
    </row>
    <row r="25" spans="2:8" x14ac:dyDescent="0.2">
      <c r="B25" s="118">
        <v>18</v>
      </c>
      <c r="C25" s="107" t="s">
        <v>611</v>
      </c>
      <c r="D25" s="125">
        <f>'Dual Output'!H191</f>
        <v>680</v>
      </c>
      <c r="E25" s="107" t="s">
        <v>616</v>
      </c>
      <c r="F25" s="109" t="s">
        <v>622</v>
      </c>
      <c r="G25" s="109"/>
      <c r="H25" s="120"/>
    </row>
    <row r="26" spans="2:8" x14ac:dyDescent="0.2">
      <c r="B26" s="118">
        <v>19</v>
      </c>
      <c r="C26" s="107" t="s">
        <v>612</v>
      </c>
      <c r="D26" s="132">
        <f>'Dual Output'!H198</f>
        <v>680</v>
      </c>
      <c r="E26" s="107" t="s">
        <v>616</v>
      </c>
      <c r="F26" s="109" t="s">
        <v>622</v>
      </c>
      <c r="G26" s="109"/>
      <c r="H26" s="120"/>
    </row>
    <row r="27" spans="2:8" x14ac:dyDescent="0.2">
      <c r="B27" s="118">
        <v>20</v>
      </c>
      <c r="C27" s="107" t="s">
        <v>607</v>
      </c>
      <c r="D27" s="107">
        <v>1000</v>
      </c>
      <c r="E27" s="107" t="s">
        <v>620</v>
      </c>
      <c r="F27" s="109" t="s">
        <v>128</v>
      </c>
      <c r="G27" s="110"/>
      <c r="H27" s="120"/>
    </row>
    <row r="28" spans="2:8" x14ac:dyDescent="0.2">
      <c r="B28" s="118">
        <v>21</v>
      </c>
      <c r="C28" s="107" t="s">
        <v>577</v>
      </c>
      <c r="D28" s="107"/>
      <c r="E28" s="107"/>
      <c r="F28" s="109" t="s">
        <v>623</v>
      </c>
      <c r="G28" s="109"/>
      <c r="H28" s="120" t="s">
        <v>624</v>
      </c>
    </row>
    <row r="29" spans="2:8" x14ac:dyDescent="0.2">
      <c r="B29" s="118">
        <v>22</v>
      </c>
      <c r="C29" s="107" t="s">
        <v>642</v>
      </c>
      <c r="D29" s="107" t="s">
        <v>646</v>
      </c>
      <c r="E29" s="107"/>
      <c r="F29" s="109"/>
      <c r="G29" s="109"/>
      <c r="H29" s="120"/>
    </row>
    <row r="30" spans="2:8" x14ac:dyDescent="0.2">
      <c r="B30" s="118">
        <v>23</v>
      </c>
      <c r="C30" s="107" t="s">
        <v>643</v>
      </c>
      <c r="D30" s="107" t="s">
        <v>646</v>
      </c>
      <c r="E30" s="107"/>
      <c r="F30" s="109"/>
      <c r="G30" s="109"/>
      <c r="H30" s="120"/>
    </row>
    <row r="31" spans="2:8" x14ac:dyDescent="0.2">
      <c r="B31" s="118">
        <v>24</v>
      </c>
      <c r="C31" s="107" t="s">
        <v>578</v>
      </c>
      <c r="D31" s="107"/>
      <c r="E31" s="107"/>
      <c r="F31" s="109" t="s">
        <v>625</v>
      </c>
      <c r="G31" s="109" t="s">
        <v>626</v>
      </c>
      <c r="H31" s="120"/>
    </row>
    <row r="32" spans="2:8" x14ac:dyDescent="0.2">
      <c r="B32" s="118">
        <v>25</v>
      </c>
      <c r="C32" s="107" t="s">
        <v>579</v>
      </c>
      <c r="D32" s="107"/>
      <c r="E32" s="107"/>
      <c r="F32" s="133">
        <f>'Dual Output'!H222</f>
        <v>79.515323479670968</v>
      </c>
      <c r="G32" s="110" t="s">
        <v>627</v>
      </c>
      <c r="H32" s="120"/>
    </row>
    <row r="33" spans="2:8" x14ac:dyDescent="0.2">
      <c r="B33" s="118">
        <v>26</v>
      </c>
      <c r="C33" s="107" t="s">
        <v>581</v>
      </c>
      <c r="D33" s="107"/>
      <c r="E33" s="107"/>
      <c r="F33" s="128">
        <f>'Dual Output'!H203</f>
        <v>28.932844901698534</v>
      </c>
      <c r="G33" s="128">
        <f>'Dual Output'!H204</f>
        <v>0.91721217495243279</v>
      </c>
      <c r="H33" s="120"/>
    </row>
    <row r="34" spans="2:8" x14ac:dyDescent="0.2">
      <c r="B34" s="118">
        <v>27</v>
      </c>
      <c r="C34" s="107" t="s">
        <v>580</v>
      </c>
      <c r="D34" s="107"/>
      <c r="E34" s="107"/>
      <c r="F34" s="128">
        <f>'Dual Output'!H185</f>
        <v>86.798534705095591</v>
      </c>
      <c r="G34" s="128">
        <f>'Dual Output'!H186</f>
        <v>1.9032152630262982</v>
      </c>
      <c r="H34" s="120"/>
    </row>
    <row r="35" spans="2:8" x14ac:dyDescent="0.2">
      <c r="B35" s="118">
        <v>28</v>
      </c>
      <c r="C35" s="107" t="s">
        <v>582</v>
      </c>
      <c r="D35" s="107" t="s">
        <v>857</v>
      </c>
      <c r="E35" s="107"/>
      <c r="F35" s="109"/>
      <c r="G35" s="109"/>
      <c r="H35" s="120"/>
    </row>
    <row r="36" spans="2:8" x14ac:dyDescent="0.2">
      <c r="B36" s="118">
        <v>29</v>
      </c>
      <c r="C36" s="107" t="s">
        <v>583</v>
      </c>
      <c r="D36" s="107">
        <v>39</v>
      </c>
      <c r="E36" s="107" t="s">
        <v>630</v>
      </c>
      <c r="F36" s="110"/>
      <c r="G36" s="128">
        <f>'Dual Output'!H60</f>
        <v>0.4016064257028113</v>
      </c>
      <c r="H36" s="120"/>
    </row>
    <row r="37" spans="2:8" x14ac:dyDescent="0.2">
      <c r="B37" s="118">
        <v>30</v>
      </c>
      <c r="C37" s="107" t="s">
        <v>614</v>
      </c>
      <c r="D37" s="125">
        <f>'Dual Output'!H196</f>
        <v>2.2000000000000002</v>
      </c>
      <c r="E37" s="107" t="s">
        <v>632</v>
      </c>
      <c r="F37" s="109"/>
      <c r="G37" s="128">
        <f>'Dual Output'!H26</f>
        <v>0.83</v>
      </c>
      <c r="H37" s="135"/>
    </row>
    <row r="38" spans="2:8" x14ac:dyDescent="0.2">
      <c r="B38" s="118">
        <v>31</v>
      </c>
      <c r="C38" s="107" t="s">
        <v>613</v>
      </c>
      <c r="D38" s="125">
        <f>'Dual Output'!H214</f>
        <v>2.2000000000000002</v>
      </c>
      <c r="E38" s="107" t="s">
        <v>632</v>
      </c>
      <c r="F38" s="109"/>
      <c r="G38" s="128">
        <f>'Dual Output'!H34</f>
        <v>0.4</v>
      </c>
      <c r="H38" s="137"/>
    </row>
    <row r="39" spans="2:8" x14ac:dyDescent="0.2">
      <c r="B39" s="118">
        <v>32</v>
      </c>
      <c r="C39" s="107" t="s">
        <v>584</v>
      </c>
      <c r="D39" s="107">
        <v>3</v>
      </c>
      <c r="E39" s="136" t="s">
        <v>633</v>
      </c>
      <c r="F39" s="109" t="s">
        <v>636</v>
      </c>
      <c r="G39" s="109"/>
      <c r="H39" s="120"/>
    </row>
    <row r="40" spans="2:8" x14ac:dyDescent="0.2">
      <c r="B40" s="118">
        <v>33</v>
      </c>
      <c r="C40" s="107" t="s">
        <v>585</v>
      </c>
      <c r="D40" s="130">
        <v>15</v>
      </c>
      <c r="E40" s="136" t="s">
        <v>633</v>
      </c>
      <c r="F40" s="109" t="s">
        <v>637</v>
      </c>
      <c r="G40" s="109"/>
      <c r="H40" s="120"/>
    </row>
    <row r="41" spans="2:8" x14ac:dyDescent="0.2">
      <c r="B41" s="118">
        <v>34</v>
      </c>
      <c r="C41" s="107" t="s">
        <v>586</v>
      </c>
      <c r="D41" s="125">
        <f>'Dual Output'!H177</f>
        <v>68</v>
      </c>
      <c r="E41" s="136" t="s">
        <v>634</v>
      </c>
      <c r="F41" s="109" t="s">
        <v>192</v>
      </c>
      <c r="G41" s="109"/>
      <c r="H41" s="135">
        <f>'Dual Output'!H252</f>
        <v>0.90566409713063523</v>
      </c>
    </row>
    <row r="42" spans="2:8" x14ac:dyDescent="0.2">
      <c r="B42" s="118">
        <v>35</v>
      </c>
      <c r="C42" s="107" t="s">
        <v>587</v>
      </c>
      <c r="D42" s="107">
        <v>4.7</v>
      </c>
      <c r="E42" s="136" t="s">
        <v>635</v>
      </c>
      <c r="F42" s="109"/>
      <c r="G42" s="109"/>
      <c r="H42" s="120"/>
    </row>
    <row r="43" spans="2:8" x14ac:dyDescent="0.2">
      <c r="B43" s="118">
        <v>36</v>
      </c>
      <c r="C43" s="107" t="s">
        <v>588</v>
      </c>
      <c r="D43" s="107">
        <v>0</v>
      </c>
      <c r="E43" s="136" t="s">
        <v>635</v>
      </c>
      <c r="F43" s="109"/>
      <c r="G43" s="109"/>
      <c r="H43" s="120"/>
    </row>
    <row r="44" spans="2:8" x14ac:dyDescent="0.2">
      <c r="B44" s="118">
        <v>37</v>
      </c>
      <c r="C44" s="107" t="s">
        <v>589</v>
      </c>
      <c r="D44" s="128">
        <f>'Dual Output'!H410*2</f>
        <v>1.865586952567424</v>
      </c>
      <c r="E44" s="136" t="s">
        <v>635</v>
      </c>
      <c r="F44" s="109"/>
      <c r="G44" s="109"/>
      <c r="H44" s="135">
        <f>'Dual Output'!H255/2</f>
        <v>5.8332909903790295E-2</v>
      </c>
    </row>
    <row r="45" spans="2:8" x14ac:dyDescent="0.2">
      <c r="B45" s="118">
        <v>38</v>
      </c>
      <c r="C45" s="107" t="s">
        <v>590</v>
      </c>
      <c r="D45" s="107">
        <v>260</v>
      </c>
      <c r="E45" s="136" t="s">
        <v>634</v>
      </c>
      <c r="F45" s="109"/>
      <c r="G45" s="109"/>
      <c r="H45" s="120"/>
    </row>
    <row r="46" spans="2:8" x14ac:dyDescent="0.2">
      <c r="B46" s="118">
        <v>39</v>
      </c>
      <c r="C46" s="107" t="s">
        <v>644</v>
      </c>
      <c r="D46" s="107" t="s">
        <v>646</v>
      </c>
      <c r="E46" s="136"/>
      <c r="F46" s="109"/>
      <c r="G46" s="109"/>
      <c r="H46" s="120"/>
    </row>
    <row r="47" spans="2:8" x14ac:dyDescent="0.2">
      <c r="B47" s="118">
        <v>40</v>
      </c>
      <c r="C47" s="107" t="s">
        <v>112</v>
      </c>
      <c r="D47" s="125">
        <f>'Dual Output'!H425</f>
        <v>39</v>
      </c>
      <c r="E47" s="136" t="s">
        <v>634</v>
      </c>
      <c r="F47" s="109"/>
      <c r="G47" s="109"/>
      <c r="H47" s="120"/>
    </row>
    <row r="48" spans="2:8" x14ac:dyDescent="0.2">
      <c r="B48" s="118">
        <v>41</v>
      </c>
      <c r="C48" s="107" t="s">
        <v>638</v>
      </c>
      <c r="D48" s="107" t="s">
        <v>646</v>
      </c>
      <c r="E48" s="136"/>
      <c r="F48" s="109"/>
      <c r="G48" s="109"/>
      <c r="H48" s="120"/>
    </row>
    <row r="49" spans="2:8" x14ac:dyDescent="0.2">
      <c r="B49" s="118">
        <v>42</v>
      </c>
      <c r="C49" s="107" t="s">
        <v>595</v>
      </c>
      <c r="D49" s="107">
        <v>11</v>
      </c>
      <c r="E49" s="136" t="s">
        <v>634</v>
      </c>
      <c r="F49" s="109"/>
      <c r="G49" s="109"/>
      <c r="H49" s="120"/>
    </row>
    <row r="50" spans="2:8" x14ac:dyDescent="0.2">
      <c r="B50" s="118">
        <v>43</v>
      </c>
      <c r="C50" s="107" t="s">
        <v>592</v>
      </c>
      <c r="D50" s="125">
        <f>'Dual Output'!H427</f>
        <v>100</v>
      </c>
      <c r="E50" s="136" t="s">
        <v>634</v>
      </c>
      <c r="F50" s="109"/>
      <c r="G50" s="109"/>
      <c r="H50" s="120"/>
    </row>
    <row r="51" spans="2:8" x14ac:dyDescent="0.2">
      <c r="B51" s="118">
        <v>44</v>
      </c>
      <c r="C51" s="107" t="s">
        <v>593</v>
      </c>
      <c r="D51" s="107">
        <v>4.7</v>
      </c>
      <c r="E51" s="136" t="s">
        <v>634</v>
      </c>
      <c r="F51" s="109"/>
      <c r="G51" s="109"/>
      <c r="H51" s="120"/>
    </row>
    <row r="52" spans="2:8" x14ac:dyDescent="0.2">
      <c r="B52" s="118">
        <v>45</v>
      </c>
      <c r="C52" s="107" t="s">
        <v>639</v>
      </c>
      <c r="D52" s="107" t="s">
        <v>646</v>
      </c>
      <c r="E52" s="136"/>
      <c r="F52" s="109"/>
      <c r="G52" s="109"/>
      <c r="H52" s="120"/>
    </row>
    <row r="53" spans="2:8" x14ac:dyDescent="0.2">
      <c r="B53" s="118">
        <v>46</v>
      </c>
      <c r="C53" s="107" t="s">
        <v>596</v>
      </c>
      <c r="D53" s="107">
        <v>15</v>
      </c>
      <c r="E53" s="136" t="s">
        <v>634</v>
      </c>
      <c r="F53" s="109"/>
      <c r="G53" s="109"/>
      <c r="H53" s="120"/>
    </row>
    <row r="54" spans="2:8" x14ac:dyDescent="0.2">
      <c r="B54" s="118">
        <v>47</v>
      </c>
      <c r="C54" s="107" t="s">
        <v>594</v>
      </c>
      <c r="D54" s="125">
        <f>'Dual Output'!H426</f>
        <v>910</v>
      </c>
      <c r="E54" s="136" t="s">
        <v>634</v>
      </c>
      <c r="F54" s="109"/>
      <c r="G54" s="109"/>
      <c r="H54" s="120"/>
    </row>
    <row r="55" spans="2:8" x14ac:dyDescent="0.2">
      <c r="B55" s="118">
        <v>48</v>
      </c>
      <c r="C55" s="107" t="s">
        <v>591</v>
      </c>
      <c r="D55" s="107">
        <v>33</v>
      </c>
      <c r="E55" s="136" t="s">
        <v>634</v>
      </c>
      <c r="F55" s="109"/>
      <c r="G55" s="109"/>
      <c r="H55" s="120"/>
    </row>
    <row r="56" spans="2:8" x14ac:dyDescent="0.2">
      <c r="B56" s="118">
        <v>49</v>
      </c>
      <c r="C56" s="107" t="s">
        <v>597</v>
      </c>
      <c r="D56" s="132">
        <f>'Dual Output'!H382</f>
        <v>556.91876429806803</v>
      </c>
      <c r="E56" s="107" t="s">
        <v>632</v>
      </c>
      <c r="F56" s="111"/>
      <c r="G56" s="109"/>
      <c r="H56" s="120"/>
    </row>
    <row r="57" spans="2:8" x14ac:dyDescent="0.2">
      <c r="B57" s="118">
        <v>50</v>
      </c>
      <c r="C57" s="107" t="s">
        <v>598</v>
      </c>
      <c r="D57" s="107" t="s">
        <v>599</v>
      </c>
      <c r="E57" s="107"/>
      <c r="F57" s="111"/>
      <c r="G57" s="109"/>
      <c r="H57" s="120"/>
    </row>
    <row r="58" spans="2:8" x14ac:dyDescent="0.2">
      <c r="B58" s="118">
        <v>51</v>
      </c>
      <c r="C58" s="107" t="s">
        <v>600</v>
      </c>
      <c r="D58" s="107" t="s">
        <v>599</v>
      </c>
      <c r="E58" s="107"/>
      <c r="F58" s="109"/>
      <c r="G58" s="109"/>
      <c r="H58" s="120"/>
    </row>
    <row r="59" spans="2:8" x14ac:dyDescent="0.2">
      <c r="B59" s="118">
        <v>52</v>
      </c>
      <c r="C59" s="107" t="s">
        <v>601</v>
      </c>
      <c r="D59" s="107" t="s">
        <v>602</v>
      </c>
      <c r="E59" s="107"/>
      <c r="F59" s="109"/>
      <c r="G59" s="109"/>
      <c r="H59" s="120"/>
    </row>
    <row r="60" spans="2:8" ht="13.5" thickBot="1" x14ac:dyDescent="0.25">
      <c r="B60" s="121">
        <v>53</v>
      </c>
      <c r="C60" s="122" t="s">
        <v>603</v>
      </c>
      <c r="D60" s="122" t="s">
        <v>604</v>
      </c>
      <c r="E60" s="122"/>
      <c r="F60" s="123"/>
      <c r="G60" s="123"/>
      <c r="H60" s="124"/>
    </row>
  </sheetData>
  <mergeCells count="2">
    <mergeCell ref="B1:H1"/>
    <mergeCell ref="B5:H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L60"/>
  <sheetViews>
    <sheetView workbookViewId="0">
      <selection activeCell="B1" sqref="B1:H1"/>
    </sheetView>
  </sheetViews>
  <sheetFormatPr defaultColWidth="9.140625" defaultRowHeight="12.75" x14ac:dyDescent="0.2"/>
  <cols>
    <col min="1" max="1" width="4.85546875" style="106" customWidth="1"/>
    <col min="2" max="2" width="9.85546875" style="106" customWidth="1"/>
    <col min="3" max="3" width="21" style="106" customWidth="1"/>
    <col min="4" max="4" width="33.42578125" style="106" bestFit="1" customWidth="1"/>
    <col min="5" max="5" width="5.140625" style="106" customWidth="1"/>
    <col min="6" max="6" width="29.28515625" style="106" customWidth="1"/>
    <col min="7" max="7" width="22.85546875" style="106" customWidth="1"/>
    <col min="8" max="8" width="18.85546875" style="106" customWidth="1"/>
    <col min="9" max="16384" width="9.140625" style="106"/>
  </cols>
  <sheetData>
    <row r="1" spans="2:12" s="19" customFormat="1" ht="18" customHeight="1" x14ac:dyDescent="0.2">
      <c r="B1" s="202" t="s">
        <v>856</v>
      </c>
      <c r="C1" s="202"/>
      <c r="D1" s="202"/>
      <c r="E1" s="202"/>
      <c r="F1" s="202"/>
      <c r="G1" s="202"/>
      <c r="H1" s="202"/>
      <c r="I1" s="22"/>
      <c r="J1" s="22"/>
      <c r="K1" s="22"/>
      <c r="L1" s="22"/>
    </row>
    <row r="2" spans="2:12" s="19" customFormat="1" x14ac:dyDescent="0.2">
      <c r="F2" s="23"/>
      <c r="G2" s="22"/>
      <c r="I2" s="22"/>
      <c r="J2" s="22"/>
      <c r="K2" s="22"/>
      <c r="L2" s="22"/>
    </row>
    <row r="3" spans="2:12" s="19" customFormat="1" x14ac:dyDescent="0.2">
      <c r="B3" s="29" t="s">
        <v>631</v>
      </c>
      <c r="C3" s="29"/>
      <c r="D3" s="30"/>
      <c r="E3" s="30"/>
      <c r="F3" s="30"/>
      <c r="G3" s="22"/>
      <c r="I3" s="22"/>
      <c r="J3" s="22"/>
      <c r="K3" s="22"/>
      <c r="L3" s="22"/>
    </row>
    <row r="4" spans="2:12" ht="13.5" thickBot="1" x14ac:dyDescent="0.25"/>
    <row r="5" spans="2:12" ht="402.75" customHeight="1" thickBot="1" x14ac:dyDescent="0.25">
      <c r="B5" s="203"/>
      <c r="C5" s="204"/>
      <c r="D5" s="204"/>
      <c r="E5" s="204"/>
      <c r="F5" s="204"/>
      <c r="G5" s="204"/>
      <c r="H5" s="205"/>
    </row>
    <row r="6" spans="2:12" ht="13.5" thickBot="1" x14ac:dyDescent="0.25"/>
    <row r="7" spans="2:12" ht="13.5" thickBot="1" x14ac:dyDescent="0.25">
      <c r="B7" s="115" t="s">
        <v>130</v>
      </c>
      <c r="C7" s="116" t="s">
        <v>566</v>
      </c>
      <c r="D7" s="116" t="s">
        <v>605</v>
      </c>
      <c r="E7" s="116" t="s">
        <v>1</v>
      </c>
      <c r="F7" s="116" t="s">
        <v>617</v>
      </c>
      <c r="G7" s="116" t="s">
        <v>615</v>
      </c>
      <c r="H7" s="117" t="s">
        <v>606</v>
      </c>
    </row>
    <row r="8" spans="2:12" x14ac:dyDescent="0.2">
      <c r="B8" s="118">
        <v>1</v>
      </c>
      <c r="C8" s="112" t="s">
        <v>93</v>
      </c>
      <c r="D8" s="113"/>
      <c r="E8" s="113"/>
      <c r="F8" s="114" t="s">
        <v>182</v>
      </c>
      <c r="G8" s="127">
        <f>'Dual Output'!H60</f>
        <v>0.4016064257028113</v>
      </c>
      <c r="H8" s="119"/>
    </row>
    <row r="9" spans="2:12" x14ac:dyDescent="0.2">
      <c r="B9" s="118">
        <v>2</v>
      </c>
      <c r="C9" s="107" t="s">
        <v>567</v>
      </c>
      <c r="D9" s="107" t="s">
        <v>568</v>
      </c>
      <c r="E9" s="107"/>
      <c r="F9" s="109"/>
      <c r="G9" s="109"/>
      <c r="H9" s="120"/>
    </row>
    <row r="10" spans="2:12" x14ac:dyDescent="0.2">
      <c r="B10" s="118">
        <v>3</v>
      </c>
      <c r="C10" s="107" t="s">
        <v>92</v>
      </c>
      <c r="D10" s="107"/>
      <c r="E10" s="107"/>
      <c r="F10" s="109" t="s">
        <v>127</v>
      </c>
      <c r="G10" s="128">
        <f>'Dual Output'!H60</f>
        <v>0.4016064257028113</v>
      </c>
      <c r="H10" s="135">
        <f>'Dual Output'!H236</f>
        <v>0.8032128514056226</v>
      </c>
    </row>
    <row r="11" spans="2:12" x14ac:dyDescent="0.2">
      <c r="B11" s="118">
        <v>4</v>
      </c>
      <c r="C11" s="107" t="s">
        <v>569</v>
      </c>
      <c r="D11" s="108">
        <v>0.15</v>
      </c>
      <c r="E11" s="108" t="s">
        <v>616</v>
      </c>
      <c r="F11" s="109" t="s">
        <v>129</v>
      </c>
      <c r="G11" s="110"/>
      <c r="H11" s="120"/>
    </row>
    <row r="12" spans="2:12" x14ac:dyDescent="0.2">
      <c r="B12" s="118">
        <v>5</v>
      </c>
      <c r="C12" s="107" t="s">
        <v>645</v>
      </c>
      <c r="D12" s="108" t="s">
        <v>646</v>
      </c>
      <c r="E12" s="108"/>
      <c r="F12" s="109"/>
      <c r="G12" s="110"/>
      <c r="H12" s="120"/>
    </row>
    <row r="13" spans="2:12" x14ac:dyDescent="0.2">
      <c r="B13" s="118">
        <v>6</v>
      </c>
      <c r="C13" s="107" t="s">
        <v>570</v>
      </c>
      <c r="D13" s="125">
        <f>'Dual Output'!H69</f>
        <v>47</v>
      </c>
      <c r="E13" s="107" t="s">
        <v>616</v>
      </c>
      <c r="F13" s="133">
        <f>'Dual Output'!H61</f>
        <v>466.69047558312138</v>
      </c>
      <c r="G13" s="109"/>
      <c r="H13" s="120"/>
    </row>
    <row r="14" spans="2:12" x14ac:dyDescent="0.2">
      <c r="B14" s="118">
        <v>7</v>
      </c>
      <c r="C14" s="107" t="s">
        <v>571</v>
      </c>
      <c r="D14" s="126">
        <f>'Dual Output'!H175</f>
        <v>1</v>
      </c>
      <c r="E14" s="108" t="s">
        <v>618</v>
      </c>
      <c r="F14" s="109" t="s">
        <v>619</v>
      </c>
      <c r="G14" s="110"/>
      <c r="H14" s="120"/>
    </row>
    <row r="15" spans="2:12" x14ac:dyDescent="0.2">
      <c r="B15" s="118">
        <v>8</v>
      </c>
      <c r="C15" s="107" t="s">
        <v>572</v>
      </c>
      <c r="D15" s="125">
        <f>'Dual Output'!H228</f>
        <v>22</v>
      </c>
      <c r="E15" s="107" t="s">
        <v>616</v>
      </c>
      <c r="F15" s="109" t="s">
        <v>128</v>
      </c>
      <c r="G15" s="109"/>
      <c r="H15" s="120"/>
    </row>
    <row r="16" spans="2:12" x14ac:dyDescent="0.2">
      <c r="B16" s="118">
        <v>9</v>
      </c>
      <c r="C16" s="107" t="s">
        <v>573</v>
      </c>
      <c r="D16" s="107">
        <v>0.1</v>
      </c>
      <c r="E16" s="107" t="s">
        <v>616</v>
      </c>
      <c r="F16" s="109" t="s">
        <v>128</v>
      </c>
      <c r="G16" s="109"/>
      <c r="H16" s="120"/>
    </row>
    <row r="17" spans="2:8" x14ac:dyDescent="0.2">
      <c r="B17" s="118">
        <v>10</v>
      </c>
      <c r="C17" s="107" t="s">
        <v>608</v>
      </c>
      <c r="D17" s="107">
        <v>1000</v>
      </c>
      <c r="E17" s="107" t="s">
        <v>620</v>
      </c>
      <c r="F17" s="109" t="s">
        <v>128</v>
      </c>
      <c r="G17" s="110"/>
      <c r="H17" s="120"/>
    </row>
    <row r="18" spans="2:8" x14ac:dyDescent="0.2">
      <c r="B18" s="118">
        <v>11</v>
      </c>
      <c r="C18" s="107" t="s">
        <v>610</v>
      </c>
      <c r="D18" s="107">
        <v>1000</v>
      </c>
      <c r="E18" s="107" t="s">
        <v>620</v>
      </c>
      <c r="F18" s="109" t="s">
        <v>128</v>
      </c>
      <c r="G18" s="110"/>
      <c r="H18" s="120"/>
    </row>
    <row r="19" spans="2:8" x14ac:dyDescent="0.2">
      <c r="B19" s="118">
        <v>12</v>
      </c>
      <c r="C19" s="107" t="s">
        <v>111</v>
      </c>
      <c r="D19" s="128">
        <f>'Dual Output'!H422</f>
        <v>820</v>
      </c>
      <c r="E19" s="107" t="s">
        <v>618</v>
      </c>
      <c r="F19" s="109" t="s">
        <v>128</v>
      </c>
      <c r="G19" s="110"/>
      <c r="H19" s="120"/>
    </row>
    <row r="20" spans="2:8" x14ac:dyDescent="0.2">
      <c r="B20" s="118">
        <v>13</v>
      </c>
      <c r="C20" s="107" t="s">
        <v>110</v>
      </c>
      <c r="D20" s="128">
        <f>'Dual Output'!H421</f>
        <v>3.3</v>
      </c>
      <c r="E20" s="107" t="s">
        <v>618</v>
      </c>
      <c r="F20" s="109" t="s">
        <v>128</v>
      </c>
      <c r="G20" s="110"/>
      <c r="H20" s="120"/>
    </row>
    <row r="21" spans="2:8" x14ac:dyDescent="0.2">
      <c r="B21" s="118">
        <v>14</v>
      </c>
      <c r="C21" s="107" t="s">
        <v>640</v>
      </c>
      <c r="D21" s="107" t="s">
        <v>646</v>
      </c>
      <c r="E21" s="107"/>
      <c r="F21" s="109"/>
      <c r="G21" s="109"/>
      <c r="H21" s="120"/>
    </row>
    <row r="22" spans="2:8" x14ac:dyDescent="0.2">
      <c r="B22" s="118">
        <v>15</v>
      </c>
      <c r="C22" s="107" t="s">
        <v>575</v>
      </c>
      <c r="D22" s="125">
        <f>'Dual Output'!H209</f>
        <v>680</v>
      </c>
      <c r="E22" s="107" t="s">
        <v>616</v>
      </c>
      <c r="F22" s="109" t="s">
        <v>621</v>
      </c>
      <c r="G22" s="109"/>
      <c r="H22" s="120"/>
    </row>
    <row r="23" spans="2:8" x14ac:dyDescent="0.2">
      <c r="B23" s="118">
        <v>16</v>
      </c>
      <c r="C23" s="107" t="s">
        <v>576</v>
      </c>
      <c r="D23" s="131">
        <f>'Dual Output'!H216</f>
        <v>330</v>
      </c>
      <c r="E23" s="108" t="s">
        <v>616</v>
      </c>
      <c r="F23" s="110" t="s">
        <v>621</v>
      </c>
      <c r="G23" s="110"/>
      <c r="H23" s="120"/>
    </row>
    <row r="24" spans="2:8" x14ac:dyDescent="0.2">
      <c r="B24" s="118">
        <v>17</v>
      </c>
      <c r="C24" s="107" t="s">
        <v>641</v>
      </c>
      <c r="D24" s="129" t="s">
        <v>646</v>
      </c>
      <c r="E24" s="108"/>
      <c r="F24" s="110"/>
      <c r="G24" s="110"/>
      <c r="H24" s="120"/>
    </row>
    <row r="25" spans="2:8" x14ac:dyDescent="0.2">
      <c r="B25" s="118">
        <v>18</v>
      </c>
      <c r="C25" s="107" t="s">
        <v>611</v>
      </c>
      <c r="D25" s="125">
        <f>'Dual Output'!H191</f>
        <v>680</v>
      </c>
      <c r="E25" s="107" t="s">
        <v>616</v>
      </c>
      <c r="F25" s="109" t="s">
        <v>622</v>
      </c>
      <c r="G25" s="109"/>
      <c r="H25" s="120"/>
    </row>
    <row r="26" spans="2:8" x14ac:dyDescent="0.2">
      <c r="B26" s="118">
        <v>19</v>
      </c>
      <c r="C26" s="107" t="s">
        <v>612</v>
      </c>
      <c r="D26" s="132">
        <f>'Dual Output'!H198</f>
        <v>680</v>
      </c>
      <c r="E26" s="107" t="s">
        <v>616</v>
      </c>
      <c r="F26" s="109" t="s">
        <v>622</v>
      </c>
      <c r="G26" s="109"/>
      <c r="H26" s="120"/>
    </row>
    <row r="27" spans="2:8" x14ac:dyDescent="0.2">
      <c r="B27" s="118">
        <v>20</v>
      </c>
      <c r="C27" s="107" t="s">
        <v>577</v>
      </c>
      <c r="D27" s="107"/>
      <c r="E27" s="107"/>
      <c r="F27" s="109" t="s">
        <v>623</v>
      </c>
      <c r="G27" s="109"/>
      <c r="H27" s="120" t="s">
        <v>624</v>
      </c>
    </row>
    <row r="28" spans="2:8" x14ac:dyDescent="0.2">
      <c r="B28" s="118">
        <v>21</v>
      </c>
      <c r="C28" s="107" t="s">
        <v>642</v>
      </c>
      <c r="D28" s="107" t="s">
        <v>646</v>
      </c>
      <c r="E28" s="107"/>
      <c r="F28" s="109"/>
      <c r="G28" s="109"/>
      <c r="H28" s="120"/>
    </row>
    <row r="29" spans="2:8" x14ac:dyDescent="0.2">
      <c r="B29" s="118">
        <v>22</v>
      </c>
      <c r="C29" s="107" t="s">
        <v>643</v>
      </c>
      <c r="D29" s="107" t="s">
        <v>646</v>
      </c>
      <c r="E29" s="107"/>
      <c r="F29" s="109"/>
      <c r="G29" s="109"/>
      <c r="H29" s="120"/>
    </row>
    <row r="30" spans="2:8" x14ac:dyDescent="0.2">
      <c r="B30" s="118">
        <v>23</v>
      </c>
      <c r="C30" s="107" t="s">
        <v>578</v>
      </c>
      <c r="D30" s="107"/>
      <c r="E30" s="107"/>
      <c r="F30" s="109" t="s">
        <v>625</v>
      </c>
      <c r="G30" s="109" t="s">
        <v>626</v>
      </c>
      <c r="H30" s="120"/>
    </row>
    <row r="31" spans="2:8" x14ac:dyDescent="0.2">
      <c r="B31" s="118">
        <v>24</v>
      </c>
      <c r="C31" s="107" t="s">
        <v>579</v>
      </c>
      <c r="D31" s="107"/>
      <c r="E31" s="107"/>
      <c r="F31" s="133">
        <f>'Dual Output'!H222</f>
        <v>79.515323479670968</v>
      </c>
      <c r="G31" s="110" t="s">
        <v>627</v>
      </c>
      <c r="H31" s="120"/>
    </row>
    <row r="32" spans="2:8" x14ac:dyDescent="0.2">
      <c r="B32" s="118">
        <v>25</v>
      </c>
      <c r="C32" s="107" t="s">
        <v>581</v>
      </c>
      <c r="D32" s="107"/>
      <c r="E32" s="107"/>
      <c r="F32" s="128">
        <f>'Dual Output'!H203</f>
        <v>28.932844901698534</v>
      </c>
      <c r="G32" s="128">
        <f>'Dual Output'!H204</f>
        <v>0.91721217495243279</v>
      </c>
      <c r="H32" s="120"/>
    </row>
    <row r="33" spans="2:8" x14ac:dyDescent="0.2">
      <c r="B33" s="118">
        <v>26</v>
      </c>
      <c r="C33" s="107" t="s">
        <v>580</v>
      </c>
      <c r="D33" s="107"/>
      <c r="E33" s="107"/>
      <c r="F33" s="128">
        <f>'Dual Output'!H185</f>
        <v>86.798534705095591</v>
      </c>
      <c r="G33" s="128">
        <f>'Dual Output'!H186</f>
        <v>1.9032152630262982</v>
      </c>
      <c r="H33" s="120"/>
    </row>
    <row r="34" spans="2:8" x14ac:dyDescent="0.2">
      <c r="B34" s="118">
        <v>27</v>
      </c>
      <c r="C34" s="107" t="s">
        <v>582</v>
      </c>
      <c r="D34" s="107" t="s">
        <v>857</v>
      </c>
      <c r="E34" s="107"/>
      <c r="F34" s="109"/>
      <c r="G34" s="109"/>
      <c r="H34" s="120"/>
    </row>
    <row r="35" spans="2:8" x14ac:dyDescent="0.2">
      <c r="B35" s="118">
        <v>28</v>
      </c>
      <c r="C35" s="107" t="s">
        <v>852</v>
      </c>
      <c r="D35" s="107" t="s">
        <v>853</v>
      </c>
      <c r="E35" s="107"/>
      <c r="F35" s="109"/>
      <c r="G35" s="109"/>
      <c r="H35" s="120"/>
    </row>
    <row r="36" spans="2:8" x14ac:dyDescent="0.2">
      <c r="B36" s="118">
        <v>29</v>
      </c>
      <c r="C36" s="107" t="s">
        <v>854</v>
      </c>
      <c r="D36" s="107" t="s">
        <v>855</v>
      </c>
      <c r="E36" s="107"/>
      <c r="F36" s="109"/>
      <c r="G36" s="109"/>
      <c r="H36" s="120"/>
    </row>
    <row r="37" spans="2:8" x14ac:dyDescent="0.2">
      <c r="B37" s="118">
        <v>30</v>
      </c>
      <c r="C37" s="107" t="s">
        <v>583</v>
      </c>
      <c r="D37" s="107">
        <v>39</v>
      </c>
      <c r="E37" s="107" t="s">
        <v>630</v>
      </c>
      <c r="F37" s="110"/>
      <c r="G37" s="128">
        <f>'Dual Output'!H60</f>
        <v>0.4016064257028113</v>
      </c>
      <c r="H37" s="120"/>
    </row>
    <row r="38" spans="2:8" x14ac:dyDescent="0.2">
      <c r="B38" s="118">
        <v>31</v>
      </c>
      <c r="C38" s="107" t="s">
        <v>614</v>
      </c>
      <c r="D38" s="125">
        <f>'Dual Output'!H196</f>
        <v>2.2000000000000002</v>
      </c>
      <c r="E38" s="107" t="s">
        <v>632</v>
      </c>
      <c r="F38" s="109"/>
      <c r="G38" s="128">
        <f>'Dual Output'!H26</f>
        <v>0.83</v>
      </c>
      <c r="H38" s="135"/>
    </row>
    <row r="39" spans="2:8" x14ac:dyDescent="0.2">
      <c r="B39" s="118">
        <v>32</v>
      </c>
      <c r="C39" s="107" t="s">
        <v>613</v>
      </c>
      <c r="D39" s="125">
        <f>'Dual Output'!H214</f>
        <v>2.2000000000000002</v>
      </c>
      <c r="E39" s="107" t="s">
        <v>632</v>
      </c>
      <c r="F39" s="109"/>
      <c r="G39" s="128">
        <f>'Dual Output'!H34</f>
        <v>0.4</v>
      </c>
      <c r="H39" s="137"/>
    </row>
    <row r="40" spans="2:8" x14ac:dyDescent="0.2">
      <c r="B40" s="118">
        <v>33</v>
      </c>
      <c r="C40" s="107" t="s">
        <v>584</v>
      </c>
      <c r="D40" s="107">
        <v>3</v>
      </c>
      <c r="E40" s="136" t="s">
        <v>633</v>
      </c>
      <c r="F40" s="109" t="s">
        <v>636</v>
      </c>
      <c r="G40" s="109"/>
      <c r="H40" s="120"/>
    </row>
    <row r="41" spans="2:8" x14ac:dyDescent="0.2">
      <c r="B41" s="118">
        <v>34</v>
      </c>
      <c r="C41" s="107" t="s">
        <v>585</v>
      </c>
      <c r="D41" s="130">
        <v>15</v>
      </c>
      <c r="E41" s="136" t="s">
        <v>633</v>
      </c>
      <c r="F41" s="109" t="s">
        <v>637</v>
      </c>
      <c r="G41" s="109"/>
      <c r="H41" s="120"/>
    </row>
    <row r="42" spans="2:8" x14ac:dyDescent="0.2">
      <c r="B42" s="118">
        <v>35</v>
      </c>
      <c r="C42" s="107" t="s">
        <v>586</v>
      </c>
      <c r="D42" s="125">
        <f>'Dual Output'!H177</f>
        <v>68</v>
      </c>
      <c r="E42" s="136" t="s">
        <v>634</v>
      </c>
      <c r="F42" s="109" t="s">
        <v>192</v>
      </c>
      <c r="G42" s="109"/>
      <c r="H42" s="135">
        <f>'Dual Output'!H252</f>
        <v>0.90566409713063523</v>
      </c>
    </row>
    <row r="43" spans="2:8" x14ac:dyDescent="0.2">
      <c r="B43" s="118">
        <v>36</v>
      </c>
      <c r="C43" s="107" t="s">
        <v>587</v>
      </c>
      <c r="D43" s="107">
        <v>4.7</v>
      </c>
      <c r="E43" s="136" t="s">
        <v>635</v>
      </c>
      <c r="F43" s="109"/>
      <c r="G43" s="109"/>
      <c r="H43" s="120"/>
    </row>
    <row r="44" spans="2:8" x14ac:dyDescent="0.2">
      <c r="B44" s="118">
        <v>37</v>
      </c>
      <c r="C44" s="107" t="s">
        <v>588</v>
      </c>
      <c r="D44" s="107">
        <v>0</v>
      </c>
      <c r="E44" s="136" t="s">
        <v>635</v>
      </c>
      <c r="F44" s="109"/>
      <c r="G44" s="109"/>
      <c r="H44" s="120"/>
    </row>
    <row r="45" spans="2:8" x14ac:dyDescent="0.2">
      <c r="B45" s="118">
        <v>38</v>
      </c>
      <c r="C45" s="107" t="s">
        <v>589</v>
      </c>
      <c r="D45" s="128">
        <f>'Dual Output'!H410*2</f>
        <v>1.865586952567424</v>
      </c>
      <c r="E45" s="136" t="s">
        <v>635</v>
      </c>
      <c r="F45" s="109"/>
      <c r="G45" s="109"/>
      <c r="H45" s="135">
        <f>'Dual Output'!H255/2</f>
        <v>5.8332909903790295E-2</v>
      </c>
    </row>
    <row r="46" spans="2:8" x14ac:dyDescent="0.2">
      <c r="B46" s="118">
        <v>39</v>
      </c>
      <c r="C46" s="107" t="s">
        <v>107</v>
      </c>
      <c r="D46" s="128">
        <f>'Dual Output'!H418</f>
        <v>0.82</v>
      </c>
      <c r="E46" s="136" t="s">
        <v>634</v>
      </c>
      <c r="F46" s="109"/>
      <c r="G46" s="109"/>
      <c r="H46" s="135"/>
    </row>
    <row r="47" spans="2:8" x14ac:dyDescent="0.2">
      <c r="B47" s="118">
        <v>40</v>
      </c>
      <c r="C47" s="107" t="s">
        <v>108</v>
      </c>
      <c r="D47" s="128">
        <f>'Dual Output'!H419</f>
        <v>1.2</v>
      </c>
      <c r="E47" s="136" t="s">
        <v>634</v>
      </c>
      <c r="F47" s="109"/>
      <c r="G47" s="109"/>
      <c r="H47" s="135"/>
    </row>
    <row r="48" spans="2:8" x14ac:dyDescent="0.2">
      <c r="B48" s="118">
        <v>41</v>
      </c>
      <c r="C48" s="107" t="s">
        <v>109</v>
      </c>
      <c r="D48" s="128">
        <f>'Dual Output'!H420</f>
        <v>16</v>
      </c>
      <c r="E48" s="136" t="s">
        <v>634</v>
      </c>
      <c r="F48" s="109"/>
      <c r="G48" s="109"/>
      <c r="H48" s="135"/>
    </row>
    <row r="49" spans="2:8" x14ac:dyDescent="0.2">
      <c r="B49" s="118">
        <v>42</v>
      </c>
      <c r="C49" s="107" t="s">
        <v>106</v>
      </c>
      <c r="D49" s="128">
        <f>'Dual Output'!H416</f>
        <v>56</v>
      </c>
      <c r="E49" s="136" t="s">
        <v>634</v>
      </c>
      <c r="F49" s="109"/>
      <c r="G49" s="109"/>
      <c r="H49" s="135"/>
    </row>
    <row r="50" spans="2:8" x14ac:dyDescent="0.2">
      <c r="B50" s="118">
        <v>43</v>
      </c>
      <c r="C50" s="107" t="s">
        <v>211</v>
      </c>
      <c r="D50" s="128">
        <f>'Dual Output'!H417</f>
        <v>93</v>
      </c>
      <c r="E50" s="136" t="s">
        <v>634</v>
      </c>
      <c r="F50" s="109"/>
      <c r="G50" s="109"/>
      <c r="H50" s="135"/>
    </row>
    <row r="51" spans="2:8" x14ac:dyDescent="0.2">
      <c r="B51" s="118">
        <v>44</v>
      </c>
      <c r="C51" s="107" t="s">
        <v>105</v>
      </c>
      <c r="D51" s="128">
        <f>'Dual Output'!H415</f>
        <v>10</v>
      </c>
      <c r="E51" s="136" t="s">
        <v>634</v>
      </c>
      <c r="F51" s="109"/>
      <c r="G51" s="109"/>
      <c r="H51" s="135"/>
    </row>
    <row r="52" spans="2:8" x14ac:dyDescent="0.2">
      <c r="B52" s="118">
        <v>45</v>
      </c>
      <c r="C52" s="107" t="s">
        <v>638</v>
      </c>
      <c r="D52" s="107" t="s">
        <v>646</v>
      </c>
      <c r="E52" s="136"/>
      <c r="F52" s="109"/>
      <c r="G52" s="109"/>
      <c r="H52" s="120"/>
    </row>
    <row r="53" spans="2:8" x14ac:dyDescent="0.2">
      <c r="B53" s="118">
        <v>46</v>
      </c>
      <c r="C53" s="107" t="s">
        <v>595</v>
      </c>
      <c r="D53" s="107">
        <v>11</v>
      </c>
      <c r="E53" s="136" t="s">
        <v>634</v>
      </c>
      <c r="F53" s="109"/>
      <c r="G53" s="109"/>
      <c r="H53" s="120"/>
    </row>
    <row r="54" spans="2:8" x14ac:dyDescent="0.2">
      <c r="B54" s="118">
        <v>47</v>
      </c>
      <c r="C54" s="107" t="s">
        <v>639</v>
      </c>
      <c r="D54" s="107" t="s">
        <v>646</v>
      </c>
      <c r="E54" s="136"/>
      <c r="F54" s="109"/>
      <c r="G54" s="109"/>
      <c r="H54" s="120"/>
    </row>
    <row r="55" spans="2:8" x14ac:dyDescent="0.2">
      <c r="B55" s="118">
        <v>48</v>
      </c>
      <c r="C55" s="107" t="s">
        <v>596</v>
      </c>
      <c r="D55" s="107">
        <v>15</v>
      </c>
      <c r="E55" s="136" t="s">
        <v>634</v>
      </c>
      <c r="F55" s="109"/>
      <c r="G55" s="109"/>
      <c r="H55" s="120"/>
    </row>
    <row r="56" spans="2:8" x14ac:dyDescent="0.2">
      <c r="B56" s="118">
        <v>49</v>
      </c>
      <c r="C56" s="107" t="s">
        <v>597</v>
      </c>
      <c r="D56" s="132">
        <f>'Dual Output'!H382</f>
        <v>556.91876429806803</v>
      </c>
      <c r="E56" s="107" t="s">
        <v>632</v>
      </c>
      <c r="F56" s="111"/>
      <c r="G56" s="109"/>
      <c r="H56" s="120"/>
    </row>
    <row r="57" spans="2:8" x14ac:dyDescent="0.2">
      <c r="B57" s="118">
        <v>50</v>
      </c>
      <c r="C57" s="107" t="s">
        <v>598</v>
      </c>
      <c r="D57" s="107" t="s">
        <v>599</v>
      </c>
      <c r="E57" s="107"/>
      <c r="F57" s="111"/>
      <c r="G57" s="109"/>
      <c r="H57" s="120"/>
    </row>
    <row r="58" spans="2:8" x14ac:dyDescent="0.2">
      <c r="B58" s="118">
        <v>51</v>
      </c>
      <c r="C58" s="107" t="s">
        <v>600</v>
      </c>
      <c r="D58" s="107" t="s">
        <v>599</v>
      </c>
      <c r="E58" s="107"/>
      <c r="F58" s="109"/>
      <c r="G58" s="109"/>
      <c r="H58" s="120"/>
    </row>
    <row r="59" spans="2:8" x14ac:dyDescent="0.2">
      <c r="B59" s="118">
        <v>52</v>
      </c>
      <c r="C59" s="107" t="s">
        <v>601</v>
      </c>
      <c r="D59" s="107" t="s">
        <v>602</v>
      </c>
      <c r="E59" s="107"/>
      <c r="F59" s="109"/>
      <c r="G59" s="109"/>
      <c r="H59" s="120"/>
    </row>
    <row r="60" spans="2:8" ht="13.5" thickBot="1" x14ac:dyDescent="0.25">
      <c r="B60" s="121">
        <v>53</v>
      </c>
      <c r="C60" s="122" t="s">
        <v>603</v>
      </c>
      <c r="D60" s="122" t="s">
        <v>604</v>
      </c>
      <c r="E60" s="122"/>
      <c r="F60" s="123"/>
      <c r="G60" s="123"/>
      <c r="H60" s="124"/>
    </row>
  </sheetData>
  <mergeCells count="2">
    <mergeCell ref="B1:H1"/>
    <mergeCell ref="B5:H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L10"/>
  <sheetViews>
    <sheetView workbookViewId="0">
      <selection activeCell="H19" sqref="H19"/>
    </sheetView>
  </sheetViews>
  <sheetFormatPr defaultRowHeight="12.75" x14ac:dyDescent="0.2"/>
  <cols>
    <col min="2" max="2" width="7" bestFit="1" customWidth="1"/>
    <col min="4" max="4" width="11.140625" bestFit="1" customWidth="1"/>
    <col min="6" max="6" width="11.42578125" customWidth="1"/>
    <col min="8" max="8" width="5" bestFit="1" customWidth="1"/>
    <col min="10" max="10" width="9.28515625" bestFit="1" customWidth="1"/>
    <col min="12" max="12" width="11" bestFit="1" customWidth="1"/>
  </cols>
  <sheetData>
    <row r="2" spans="2:12" ht="18.75" x14ac:dyDescent="0.2">
      <c r="B2" s="1" t="s">
        <v>97</v>
      </c>
      <c r="D2" s="1" t="s">
        <v>98</v>
      </c>
      <c r="F2" s="7" t="s">
        <v>848</v>
      </c>
      <c r="H2" s="1" t="s">
        <v>100</v>
      </c>
      <c r="J2" s="1" t="s">
        <v>102</v>
      </c>
      <c r="L2" s="1" t="s">
        <v>103</v>
      </c>
    </row>
    <row r="3" spans="2:12" x14ac:dyDescent="0.2">
      <c r="B3" s="2">
        <v>65000</v>
      </c>
      <c r="D3" s="3">
        <v>950</v>
      </c>
      <c r="F3" s="3">
        <v>0.8</v>
      </c>
      <c r="H3" s="3">
        <v>2.0299999999999998</v>
      </c>
      <c r="J3" s="3">
        <v>12</v>
      </c>
      <c r="L3" s="3">
        <v>6</v>
      </c>
    </row>
    <row r="4" spans="2:12" x14ac:dyDescent="0.2">
      <c r="B4" s="2">
        <v>100000</v>
      </c>
      <c r="D4" s="3">
        <v>800</v>
      </c>
      <c r="F4" s="3"/>
      <c r="H4" s="3"/>
      <c r="J4" s="3"/>
      <c r="L4" s="3"/>
    </row>
    <row r="5" spans="2:12" x14ac:dyDescent="0.2">
      <c r="B5" s="2">
        <v>125000</v>
      </c>
      <c r="D5" s="3">
        <v>750</v>
      </c>
      <c r="F5" s="3"/>
      <c r="H5" s="3"/>
      <c r="J5" s="3"/>
      <c r="L5" s="3"/>
    </row>
    <row r="6" spans="2:12" x14ac:dyDescent="0.2">
      <c r="B6" s="2"/>
      <c r="D6" s="3">
        <v>700</v>
      </c>
      <c r="F6" s="3"/>
      <c r="H6" s="3"/>
    </row>
    <row r="7" spans="2:12" x14ac:dyDescent="0.2">
      <c r="B7" s="2"/>
      <c r="D7" s="5">
        <v>650</v>
      </c>
      <c r="F7" s="3"/>
      <c r="H7" s="4"/>
    </row>
    <row r="8" spans="2:12" x14ac:dyDescent="0.2">
      <c r="B8" s="6"/>
      <c r="D8" s="5">
        <v>600</v>
      </c>
    </row>
    <row r="9" spans="2:12" x14ac:dyDescent="0.2">
      <c r="B9" s="6"/>
      <c r="D9" s="5">
        <v>550</v>
      </c>
    </row>
    <row r="10" spans="2:12" x14ac:dyDescent="0.2">
      <c r="B10" s="3"/>
      <c r="D10" s="5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H10"/>
  <sheetViews>
    <sheetView zoomScale="98" zoomScaleNormal="98" workbookViewId="0">
      <selection activeCell="C20" sqref="C20"/>
    </sheetView>
  </sheetViews>
  <sheetFormatPr defaultColWidth="8.85546875" defaultRowHeight="13.5" x14ac:dyDescent="0.25"/>
  <cols>
    <col min="1" max="1" width="8.85546875" style="8"/>
    <col min="2" max="2" width="31.140625" style="8" customWidth="1"/>
    <col min="3" max="3" width="65.5703125" style="8" customWidth="1"/>
    <col min="4" max="4" width="12.28515625" style="8" bestFit="1" customWidth="1"/>
    <col min="5" max="5" width="10.7109375" style="8" bestFit="1" customWidth="1"/>
    <col min="6" max="6" width="8.7109375" style="8" bestFit="1" customWidth="1"/>
    <col min="7" max="7" width="25" style="8" customWidth="1"/>
    <col min="8" max="16384" width="8.85546875" style="8"/>
  </cols>
  <sheetData>
    <row r="2" spans="1:8" x14ac:dyDescent="0.25">
      <c r="C2" s="12"/>
    </row>
    <row r="3" spans="1:8" x14ac:dyDescent="0.25">
      <c r="B3" s="13" t="s">
        <v>860</v>
      </c>
      <c r="C3" s="11"/>
    </row>
    <row r="4" spans="1:8" x14ac:dyDescent="0.25">
      <c r="A4" s="16"/>
      <c r="B4" s="208" t="s">
        <v>205</v>
      </c>
      <c r="C4" s="208" t="s">
        <v>179</v>
      </c>
      <c r="D4" s="17" t="s">
        <v>193</v>
      </c>
      <c r="E4" s="206" t="s">
        <v>194</v>
      </c>
      <c r="F4" s="207"/>
      <c r="G4" s="206" t="s">
        <v>180</v>
      </c>
      <c r="H4" s="16"/>
    </row>
    <row r="5" spans="1:8" x14ac:dyDescent="0.25">
      <c r="A5" s="16"/>
      <c r="B5" s="209"/>
      <c r="C5" s="209"/>
      <c r="D5" s="17"/>
      <c r="E5" s="17" t="s">
        <v>201</v>
      </c>
      <c r="F5" s="17" t="s">
        <v>202</v>
      </c>
      <c r="G5" s="207"/>
      <c r="H5" s="16"/>
    </row>
    <row r="6" spans="1:8" x14ac:dyDescent="0.25">
      <c r="A6" s="16"/>
      <c r="B6" s="105" t="s">
        <v>199</v>
      </c>
      <c r="C6" s="10" t="s">
        <v>846</v>
      </c>
      <c r="D6" s="14" t="s">
        <v>195</v>
      </c>
      <c r="E6" s="14" t="s">
        <v>195</v>
      </c>
      <c r="F6" s="15" t="s">
        <v>196</v>
      </c>
      <c r="G6" s="15" t="s">
        <v>197</v>
      </c>
      <c r="H6" s="16"/>
    </row>
    <row r="7" spans="1:8" x14ac:dyDescent="0.25">
      <c r="A7" s="16"/>
      <c r="B7" s="105" t="s">
        <v>200</v>
      </c>
      <c r="C7" s="10" t="s">
        <v>203</v>
      </c>
      <c r="D7" s="14" t="s">
        <v>195</v>
      </c>
      <c r="E7" s="14" t="s">
        <v>195</v>
      </c>
      <c r="F7" s="14" t="s">
        <v>195</v>
      </c>
      <c r="G7" s="15" t="s">
        <v>181</v>
      </c>
      <c r="H7" s="16"/>
    </row>
    <row r="8" spans="1:8" x14ac:dyDescent="0.25">
      <c r="A8" s="16"/>
      <c r="B8" s="105" t="s">
        <v>198</v>
      </c>
      <c r="C8" s="9" t="s">
        <v>847</v>
      </c>
      <c r="D8" s="14" t="s">
        <v>195</v>
      </c>
      <c r="E8" s="15" t="s">
        <v>196</v>
      </c>
      <c r="F8" s="15" t="s">
        <v>196</v>
      </c>
      <c r="G8" s="15" t="s">
        <v>197</v>
      </c>
      <c r="H8" s="16"/>
    </row>
    <row r="9" spans="1:8" x14ac:dyDescent="0.25">
      <c r="A9" s="16"/>
      <c r="B9" s="105" t="s">
        <v>212</v>
      </c>
      <c r="C9" s="9" t="s">
        <v>204</v>
      </c>
      <c r="D9" s="14" t="s">
        <v>195</v>
      </c>
      <c r="E9" s="14" t="s">
        <v>195</v>
      </c>
      <c r="F9" s="14" t="s">
        <v>195</v>
      </c>
      <c r="G9" s="15" t="s">
        <v>206</v>
      </c>
      <c r="H9" s="16"/>
    </row>
    <row r="10" spans="1:8" x14ac:dyDescent="0.25">
      <c r="A10" s="16"/>
      <c r="B10" s="105"/>
      <c r="C10" s="9"/>
      <c r="D10" s="14"/>
      <c r="E10" s="14"/>
      <c r="F10" s="15"/>
      <c r="G10" s="15"/>
      <c r="H10" s="16"/>
    </row>
  </sheetData>
  <mergeCells count="4">
    <mergeCell ref="G4:G5"/>
    <mergeCell ref="E4:F4"/>
    <mergeCell ref="B4:B5"/>
    <mergeCell ref="C4:C5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078782A1FDC64089DBD212603AD2E9" ma:contentTypeVersion="0" ma:contentTypeDescription="Create a new document." ma:contentTypeScope="" ma:versionID="6b95c7bf192a86da6cb2b5f13e7a7a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53E3CE-AEDE-4A6F-88E8-3794CE8494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4F2598-D847-4FC8-91F1-D135B724F9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AD4E9F-8B59-496A-800C-F33DE67C4F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Single Output</vt:lpstr>
      <vt:lpstr>Dual Output</vt:lpstr>
      <vt:lpstr>Design example (dual non-iso)</vt:lpstr>
      <vt:lpstr>Design example (dual iso)</vt:lpstr>
      <vt:lpstr>msc</vt:lpstr>
      <vt:lpstr>Protection Mode</vt:lpstr>
      <vt:lpstr>'Protection Mode'!OLE_LINK1</vt:lpstr>
      <vt:lpstr>'Dual Output'!Print_Area</vt:lpstr>
      <vt:lpstr>'Single Output'!Print_Area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 PS TM1</dc:creator>
  <cp:lastModifiedBy>Luo Zhidan (IFAP DC PSS RDA TM1)</cp:lastModifiedBy>
  <cp:lastPrinted>2017-07-07T05:32:46Z</cp:lastPrinted>
  <dcterms:created xsi:type="dcterms:W3CDTF">1998-08-14T06:43:00Z</dcterms:created>
  <dcterms:modified xsi:type="dcterms:W3CDTF">2022-03-16T08:00:17Z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0x01010096078782A1FDC64089DBD212603AD2E9</vt:lpwstr>
  </property>
</Properties>
</file>